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TomTat" sheetId="1" r:id="rId1"/>
    <sheet name="su6" sheetId="2" r:id="rId2"/>
    <sheet name="KT_su6" sheetId="3" r:id="rId3"/>
    <sheet name="khtn7" sheetId="4" r:id="rId4"/>
    <sheet name="KT_khtn7" sheetId="5" r:id="rId5"/>
    <sheet name="van8" sheetId="6" r:id="rId6"/>
    <sheet name="KT_van8" sheetId="7" r:id="rId7"/>
    <sheet name="tin7" sheetId="8" r:id="rId8"/>
    <sheet name="KT_tin7" sheetId="9" r:id="rId9"/>
    <sheet name="khtn8" sheetId="10" r:id="rId10"/>
    <sheet name="KT_khtn8" sheetId="11" r:id="rId11"/>
    <sheet name="tin8" sheetId="12" r:id="rId12"/>
    <sheet name="KT_tin8" sheetId="13" r:id="rId13"/>
    <sheet name="toan8" sheetId="14" r:id="rId14"/>
    <sheet name="KT_toan8" sheetId="15" r:id="rId15"/>
    <sheet name="khtn9" sheetId="16" r:id="rId16"/>
    <sheet name="KT_khtn9" sheetId="17" r:id="rId17"/>
    <sheet name="tin9" sheetId="18" r:id="rId18"/>
    <sheet name="KT_tin9" sheetId="19" r:id="rId19"/>
    <sheet name="toan9" sheetId="20" r:id="rId20"/>
    <sheet name="KT_toan9" sheetId="21" r:id="rId21"/>
    <sheet name="toan9tk" sheetId="22" r:id="rId22"/>
    <sheet name="KT_toan9tk" sheetId="23" r:id="rId23"/>
    <sheet name="dia10" sheetId="24" r:id="rId24"/>
    <sheet name="KT_dia10" sheetId="25" r:id="rId25"/>
    <sheet name="hoa10" sheetId="26" r:id="rId26"/>
    <sheet name="KT_hoa10" sheetId="27" r:id="rId27"/>
    <sheet name="sinh10" sheetId="28" r:id="rId28"/>
    <sheet name="KT_sinh10" sheetId="29" r:id="rId29"/>
    <sheet name="anh" sheetId="30" r:id="rId30"/>
    <sheet name="KT_anh" sheetId="31" r:id="rId31"/>
    <sheet name="toan" sheetId="32" r:id="rId32"/>
    <sheet name="KT_toan" sheetId="33" r:id="rId33"/>
    <sheet name="toan10hs" sheetId="34" r:id="rId34"/>
    <sheet name="KT_toan10hs" sheetId="35" r:id="rId35"/>
    <sheet name="toan10tk" sheetId="36" r:id="rId36"/>
    <sheet name="KT_toan10tk" sheetId="37" r:id="rId37"/>
    <sheet name="ly" sheetId="38" r:id="rId38"/>
    <sheet name="KT_ly" sheetId="39" r:id="rId39"/>
    <sheet name="gdkt11" sheetId="40" r:id="rId40"/>
    <sheet name="KT_gdkt11" sheetId="41" r:id="rId41"/>
    <sheet name="hoa" sheetId="42" r:id="rId42"/>
    <sheet name="KT_hoa" sheetId="43" r:id="rId43"/>
    <sheet name="toan11" sheetId="44" r:id="rId44"/>
    <sheet name="KT_toan11" sheetId="45" r:id="rId45"/>
    <sheet name="toan11xs" sheetId="46" r:id="rId46"/>
    <sheet name="KT_toan11xs" sheetId="47" r:id="rId47"/>
    <sheet name="ly11" sheetId="48" r:id="rId48"/>
    <sheet name="KT_ly11" sheetId="49" r:id="rId49"/>
    <sheet name="cn12" sheetId="50" r:id="rId50"/>
    <sheet name="KT_cn12" sheetId="51" r:id="rId51"/>
    <sheet name="hoa12" sheetId="52" r:id="rId52"/>
    <sheet name="KT_hoa12" sheetId="53" r:id="rId53"/>
    <sheet name="sinh12" sheetId="54" r:id="rId54"/>
    <sheet name="KT_sinh12" sheetId="55" r:id="rId55"/>
    <sheet name="tin12" sheetId="56" r:id="rId56"/>
    <sheet name="KT_tin12" sheetId="57" r:id="rId57"/>
    <sheet name="toan12xs" sheetId="58" r:id="rId58"/>
    <sheet name="KT_toan12xs" sheetId="59" r:id="rId59"/>
    <sheet name="toan12tk" sheetId="60" r:id="rId60"/>
    <sheet name="KT_toan12tk" sheetId="61" r:id="rId61"/>
    <sheet name="ly12" sheetId="62" r:id="rId62"/>
    <sheet name="KT_ly12" sheetId="63" r:id="rId63"/>
    <sheet name="ly12hn" sheetId="64" r:id="rId64"/>
    <sheet name="KT_ly12hn" sheetId="65" r:id="rId65"/>
    <sheet name="cntt" sheetId="66" r:id="rId66"/>
    <sheet name="KT_cntt" sheetId="67" r:id="rId67"/>
    <sheet name="kinhte" sheetId="68" r:id="rId68"/>
    <sheet name="KT_kinhte" sheetId="69" r:id="rId69"/>
    <sheet name="cokhi" sheetId="70" r:id="rId70"/>
    <sheet name="KT_cokhi" sheetId="71" r:id="rId71"/>
    <sheet name="dientu" sheetId="72" r:id="rId72"/>
    <sheet name="KT_dientu" sheetId="73" r:id="rId73"/>
    <sheet name="kho" sheetId="74" r:id="rId74"/>
    <sheet name="KT_kho" sheetId="75" r:id="rId75"/>
    <sheet name="donhang" sheetId="76" r:id="rId76"/>
    <sheet name="KT_donhang" sheetId="77" r:id="rId77"/>
    <sheet name="diem" sheetId="78" r:id="rId78"/>
    <sheet name="KT_diem" sheetId="79" r:id="rId79"/>
    <sheet name="thue" sheetId="80" r:id="rId80"/>
    <sheet name="KT_thue" sheetId="81" r:id="rId81"/>
    <sheet name="luong" sheetId="82" r:id="rId82"/>
    <sheet name="KT_luong" sheetId="83" r:id="rId83"/>
    <sheet name="hoiquy" sheetId="84" r:id="rId84"/>
    <sheet name="KT_hoiquy" sheetId="85" r:id="rId85"/>
    <sheet name="xaydung" sheetId="86" r:id="rId86"/>
    <sheet name="KT_xaydung" sheetId="87" r:id="rId87"/>
    <sheet name="yduoc" sheetId="88" r:id="rId88"/>
    <sheet name="KT_yduoc" sheetId="89" r:id="rId89"/>
    <sheet name="nhanmade" sheetId="90" r:id="rId90"/>
    <sheet name="KT_nhanmade" sheetId="91" r:id="rId91"/>
  </sheets>
  <calcPr calcId="191029" fullCalcOnLoad="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dd/mm/yyyy"/>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theme" Target="theme/theme1.xml"/><Relationship Id="rId93" Type="http://schemas.openxmlformats.org/officeDocument/2006/relationships/styles" Target="styles.xml"/><Relationship Id="rId9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52"/>
  <sheetViews>
    <sheetView workbookViewId="0" rightToLeft="0"/>
  </sheetViews>
  <cols>
    <col min="1" max="1" width="28.83203125" customWidth="1"/>
    <col min="2" max="2" width="18.83203125" customWidth="1"/>
    <col min="3" max="3" width="12.83203125" customWidth="1"/>
    <col min="4" max="4" width="10.83203125" customWidth="1"/>
    <col min="5" max="5" width="16.83203125" customWidth="1"/>
  </cols>
  <sheetData>
    <row r="1">
      <c r="A1" t="str">
        <v>Chủ đề</v>
      </c>
      <c r="B1" t="str">
        <v>Số ô công thức</v>
      </c>
      <c r="C1" t="str">
        <v>Số ô lệch</v>
      </c>
      <c r="D1" t="str">
        <v>Số ô lỗi</v>
      </c>
      <c r="E1" t="str">
        <v>Ô lệch đầu tiên</v>
      </c>
    </row>
    <row r="2">
      <c r="A2" t="str">
        <v>Tính thời gian trong lịch sử</v>
      </c>
      <c r="B2">
        <v>72</v>
      </c>
      <c r="C2">
        <f>COUNTIF(KT_su6!D2:D73,FALSE)</f>
      </c>
      <c r="D2">
        <f>COUNTIF(KT_su6!E2:E73,TRUE)</f>
      </c>
      <c r="E2">
        <f>IFERROR(INDEX(KT_su6!A2:A73,MATCH(FALSE,KT_su6!D2:D73,0)),"")</f>
      </c>
    </row>
    <row r="3">
      <c r="A3" t="str">
        <v>Tốc độ chuyển động</v>
      </c>
      <c r="B3">
        <v>60</v>
      </c>
      <c r="C3">
        <f>COUNTIF(KT_khtn7!D2:D61,FALSE)</f>
      </c>
      <c r="D3">
        <f>COUNTIF(KT_khtn7!E2:E61,TRUE)</f>
      </c>
      <c r="E3">
        <f>IFERROR(INDEX(KT_khtn7!A2:A61,MATCH(FALSE,KT_khtn7!D2:D61,0)),"")</f>
      </c>
    </row>
    <row r="4">
      <c r="A4" t="str">
        <v>Chuẩn hóa và thống kê đoạn văn</v>
      </c>
      <c r="B4">
        <v>83</v>
      </c>
      <c r="C4">
        <f>COUNTIF(KT_van8!D2:D84,FALSE)</f>
      </c>
      <c r="D4">
        <f>COUNTIF(KT_van8!E2:E84,TRUE)</f>
      </c>
      <c r="E4">
        <f>IFERROR(INDEX(KT_van8!A2:A84,MATCH(FALSE,KT_van8!D2:D84,0)),"")</f>
      </c>
    </row>
    <row r="5">
      <c r="A5" t="str">
        <v>Bảng điểm cuối kỳ (hàm cơ bản)</v>
      </c>
      <c r="B5">
        <v>66</v>
      </c>
      <c r="C5">
        <f>COUNTIF(KT_tin7!D2:D67,FALSE)</f>
      </c>
      <c r="D5">
        <f>COUNTIF(KT_tin7!E2:E67,TRUE)</f>
      </c>
      <c r="E5">
        <f>IFERROR(INDEX(KT_tin7!A2:A67,MATCH(FALSE,KT_tin7!D2:D67,0)),"")</f>
      </c>
    </row>
    <row r="6">
      <c r="A6" t="str">
        <v>Mol và thể tích khí ở điều kiện chuẩn</v>
      </c>
      <c r="B6">
        <v>72</v>
      </c>
      <c r="C6">
        <f>COUNTIF(KT_khtn8!D2:D73,FALSE)</f>
      </c>
      <c r="D6">
        <f>COUNTIF(KT_khtn8!E2:E73,TRUE)</f>
      </c>
      <c r="E6">
        <f>IFERROR(INDEX(KT_khtn8!A2:A73,MATCH(FALSE,KT_khtn8!D2:D73,0)),"")</f>
      </c>
    </row>
    <row r="7">
      <c r="A7" t="str">
        <v>Hóa đơn: địa chỉ tương đối và tuyệt đối</v>
      </c>
      <c r="B7">
        <v>54</v>
      </c>
      <c r="C7">
        <f>COUNTIF(KT_tin8!D2:D55,FALSE)</f>
      </c>
      <c r="D7">
        <f>COUNTIF(KT_tin8!E2:E55,TRUE)</f>
      </c>
      <c r="E7">
        <f>IFERROR(INDEX(KT_tin8!A2:A55,MATCH(FALSE,KT_tin8!D2:D55,0)),"")</f>
      </c>
    </row>
    <row r="8">
      <c r="A8" t="str">
        <v>Hàm số bậc nhất y = ax + b</v>
      </c>
      <c r="B8">
        <v>60</v>
      </c>
      <c r="C8">
        <f>COUNTIF(KT_toan8!D2:D61,FALSE)</f>
      </c>
      <c r="D8">
        <f>COUNTIF(KT_toan8!E2:E61,TRUE)</f>
      </c>
      <c r="E8">
        <f>IFERROR(INDEX(KT_toan8!A2:A61,MATCH(FALSE,KT_toan8!D2:D61,0)),"")</f>
      </c>
    </row>
    <row r="9">
      <c r="A9" t="str">
        <v>Điện trở dây dẫn, công suất, nhiệt lượng</v>
      </c>
      <c r="B9">
        <v>72</v>
      </c>
      <c r="C9">
        <f>COUNTIF(KT_khtn9!D2:D73,FALSE)</f>
      </c>
      <c r="D9">
        <f>COUNTIF(KT_khtn9!E2:E73,TRUE)</f>
      </c>
      <c r="E9">
        <f>IFERROR(INDEX(KT_khtn9!A2:A73,MATCH(FALSE,KT_khtn9!D2:D73,0)),"")</f>
      </c>
    </row>
    <row r="10">
      <c r="A10" t="str">
        <v>Xếp loại học sinh (IF, COUNTIF, RANK)</v>
      </c>
      <c r="B10">
        <v>45</v>
      </c>
      <c r="C10">
        <f>COUNTIF(KT_tin9!D2:D46,FALSE)</f>
      </c>
      <c r="D10">
        <f>COUNTIF(KT_tin9!E2:E46,TRUE)</f>
      </c>
      <c r="E10">
        <f>IFERROR(INDEX(KT_tin9!A2:A46,MATCH(FALSE,KT_tin9!D2:D46,0)),"")</f>
      </c>
    </row>
    <row r="11">
      <c r="A11" t="str">
        <v>Phương trình bậc hai ax² + bx + c = 0</v>
      </c>
      <c r="B11">
        <v>84</v>
      </c>
      <c r="C11">
        <f>COUNTIF(KT_toan9!D2:D85,FALSE)</f>
      </c>
      <c r="D11">
        <f>COUNTIF(KT_toan9!E2:E85,TRUE)</f>
      </c>
      <c r="E11">
        <f>IFERROR(INDEX(KT_toan9!A2:A85,MATCH(FALSE,KT_toan9!D2:D85,0)),"")</f>
      </c>
    </row>
    <row r="12">
      <c r="A12" t="str">
        <v>Bảng tần số và tần số tương đối</v>
      </c>
      <c r="B12">
        <v>25</v>
      </c>
      <c r="C12">
        <f>COUNTIF(KT_toan9tk!D2:D26,FALSE)</f>
      </c>
      <c r="D12">
        <f>COUNTIF(KT_toan9tk!E2:E26,TRUE)</f>
      </c>
      <c r="E12">
        <f>IFERROR(INDEX(KT_toan9tk!A2:A26,MATCH(FALSE,KT_toan9tk!D2:D26,0)),"")</f>
      </c>
    </row>
    <row r="13">
      <c r="A13" t="str">
        <v>Dân số: mật độ, tỉ suất sinh, tử, gia tăng tự nhiên</v>
      </c>
      <c r="B13">
        <v>72</v>
      </c>
      <c r="C13">
        <f>COUNTIF(KT_dia10!D2:D73,FALSE)</f>
      </c>
      <c r="D13">
        <f>COUNTIF(KT_dia10!E2:E73,TRUE)</f>
      </c>
      <c r="E13">
        <f>IFERROR(INDEX(KT_dia10!A2:A73,MATCH(FALSE,KT_dia10!D2:D73,0)),"")</f>
      </c>
    </row>
    <row r="14">
      <c r="A14" t="str">
        <v>Kim loại tác dụng axit: thể tích H2 và hiệu suất</v>
      </c>
      <c r="B14">
        <v>60</v>
      </c>
      <c r="C14">
        <f>COUNTIF(KT_hoa10!D2:D61,FALSE)</f>
      </c>
      <c r="D14">
        <f>COUNTIF(KT_hoa10!E2:E61,TRUE)</f>
      </c>
      <c r="E14">
        <f>IFERROR(INDEX(KT_hoa10!A2:A61,MATCH(FALSE,KT_hoa10!D2:D61,0)),"")</f>
      </c>
    </row>
    <row r="15">
      <c r="A15" t="str">
        <v>Sinh trưởng của vi sinh vật</v>
      </c>
      <c r="B15">
        <v>60</v>
      </c>
      <c r="C15">
        <f>COUNTIF(KT_sinh10!D2:D61,FALSE)</f>
      </c>
      <c r="D15">
        <f>COUNTIF(KT_sinh10!E2:E61,TRUE)</f>
      </c>
      <c r="E15">
        <f>IFERROR(INDEX(KT_sinh10!A2:A61,MATCH(FALSE,KT_sinh10!D2:D61,0)),"")</f>
      </c>
    </row>
    <row r="16">
      <c r="A16" t="str">
        <v>Điểm TOEIC và xử lý câu chữ</v>
      </c>
      <c r="B16">
        <v>132</v>
      </c>
      <c r="C16">
        <f>COUNTIF(KT_anh!D2:D133,FALSE)</f>
      </c>
      <c r="D16">
        <f>COUNTIF(KT_anh!E2:E133,TRUE)</f>
      </c>
      <c r="E16">
        <f>IFERROR(INDEX(KT_anh!A2:A133,MATCH(FALSE,KT_anh!D2:D133,0)),"")</f>
      </c>
    </row>
    <row r="17">
      <c r="A17" t="str">
        <v>Hình học tam giác</v>
      </c>
      <c r="B17">
        <v>96</v>
      </c>
      <c r="C17">
        <f>COUNTIF(KT_toan!D2:D97,FALSE)</f>
      </c>
      <c r="D17">
        <f>COUNTIF(KT_toan!E2:E97,TRUE)</f>
      </c>
      <c r="E17">
        <f>IFERROR(INDEX(KT_toan!A2:A97,MATCH(FALSE,KT_toan!D2:D97,0)),"")</f>
      </c>
    </row>
    <row r="18">
      <c r="A18" t="str">
        <v>Hàm số bậc hai y = ax² + bx + c</v>
      </c>
      <c r="B18">
        <v>72</v>
      </c>
      <c r="C18">
        <f>COUNTIF(KT_toan10hs!D2:D73,FALSE)</f>
      </c>
      <c r="D18">
        <f>COUNTIF(KT_toan10hs!E2:E73,TRUE)</f>
      </c>
      <c r="E18">
        <f>IFERROR(INDEX(KT_toan10hs!A2:A73,MATCH(FALSE,KT_toan10hs!D2:D73,0)),"")</f>
      </c>
    </row>
    <row r="19">
      <c r="A19" t="str">
        <v>Các số đặc trưng của mẫu số liệu</v>
      </c>
      <c r="B19">
        <v>36</v>
      </c>
      <c r="C19">
        <f>COUNTIF(KT_toan10tk!D2:D37,FALSE)</f>
      </c>
      <c r="D19">
        <f>COUNTIF(KT_toan10tk!E2:E37,TRUE)</f>
      </c>
      <c r="E19">
        <f>IFERROR(INDEX(KT_toan10tk!A2:A37,MATCH(FALSE,KT_toan10tk!D2:D37,0)),"")</f>
      </c>
    </row>
    <row r="20">
      <c r="A20" t="str">
        <v>Động năng, thế năng, ném xiên</v>
      </c>
      <c r="B20">
        <v>108</v>
      </c>
      <c r="C20">
        <f>COUNTIF(KT_ly!D2:D109,FALSE)</f>
      </c>
      <c r="D20">
        <f>COUNTIF(KT_ly!E2:E109,TRUE)</f>
      </c>
      <c r="E20">
        <f>IFERROR(INDEX(KT_ly!A2:A109,MATCH(FALSE,KT_ly!D2:D109,0)),"")</f>
      </c>
    </row>
    <row r="21">
      <c r="A21" t="str">
        <v>Lãi suất tiền gửi và tiền vay</v>
      </c>
      <c r="B21">
        <v>72</v>
      </c>
      <c r="C21">
        <f>COUNTIF(KT_gdkt11!D2:D73,FALSE)</f>
      </c>
      <c r="D21">
        <f>COUNTIF(KT_gdkt11!E2:E73,TRUE)</f>
      </c>
      <c r="E21">
        <f>IFERROR(INDEX(KT_gdkt11!A2:A73,MATCH(FALSE,KT_gdkt11!D2:D73,0)),"")</f>
      </c>
    </row>
    <row r="22">
      <c r="A22" t="str">
        <v>Nồng độ mol và pH</v>
      </c>
      <c r="B22">
        <v>96</v>
      </c>
      <c r="C22">
        <f>COUNTIF(KT_hoa!D2:D97,FALSE)</f>
      </c>
      <c r="D22">
        <f>COUNTIF(KT_hoa!E2:E97,TRUE)</f>
      </c>
      <c r="E22">
        <f>IFERROR(INDEX(KT_hoa!A2:A97,MATCH(FALSE,KT_hoa!D2:D97,0)),"")</f>
      </c>
    </row>
    <row r="23">
      <c r="A23" t="str">
        <v>Cấp số cộng và cấp số nhân</v>
      </c>
      <c r="B23">
        <v>72</v>
      </c>
      <c r="C23">
        <f>COUNTIF(KT_toan11!D2:D73,FALSE)</f>
      </c>
      <c r="D23">
        <f>COUNTIF(KT_toan11!E2:E73,TRUE)</f>
      </c>
      <c r="E23">
        <f>IFERROR(INDEX(KT_toan11!A2:A73,MATCH(FALSE,KT_toan11!D2:D73,0)),"")</f>
      </c>
    </row>
    <row r="24">
      <c r="A24" t="str">
        <v>Hoán vị, chỉnh hợp, tổ hợp và xác suất</v>
      </c>
      <c r="B24">
        <v>72</v>
      </c>
      <c r="C24">
        <f>COUNTIF(KT_toan11xs!D2:D73,FALSE)</f>
      </c>
      <c r="D24">
        <f>COUNTIF(KT_toan11xs!E2:E73,TRUE)</f>
      </c>
      <c r="E24">
        <f>IFERROR(INDEX(KT_toan11xs!A2:A73,MATCH(FALSE,KT_toan11xs!D2:D73,0)),"")</f>
      </c>
    </row>
    <row r="25">
      <c r="A25" t="str">
        <v>Dao động: con lắc lò xo và con lắc đơn</v>
      </c>
      <c r="B25">
        <v>84</v>
      </c>
      <c r="C25">
        <f>COUNTIF(KT_ly11!D2:D85,FALSE)</f>
      </c>
      <c r="D25">
        <f>COUNTIF(KT_ly11!E2:E85,TRUE)</f>
      </c>
      <c r="E25">
        <f>IFERROR(INDEX(KT_ly11!A2:A85,MATCH(FALSE,KT_ly11!D2:D85,0)),"")</f>
      </c>
    </row>
    <row r="26">
      <c r="A26" t="str">
        <v>Điện năng tiêu thụ và tiền điện</v>
      </c>
      <c r="B26">
        <v>60</v>
      </c>
      <c r="C26">
        <f>COUNTIF(KT_cn12!D2:D61,FALSE)</f>
      </c>
      <c r="D26">
        <f>COUNTIF(KT_cn12!E2:E61,TRUE)</f>
      </c>
      <c r="E26">
        <f>IFERROR(INDEX(KT_cn12!A2:A61,MATCH(FALSE,KT_cn12!D2:D61,0)),"")</f>
      </c>
    </row>
    <row r="27">
      <c r="A27" t="str">
        <v>Điện phân: định luật Faraday</v>
      </c>
      <c r="B27">
        <v>60</v>
      </c>
      <c r="C27">
        <f>COUNTIF(KT_hoa12!D2:D61,FALSE)</f>
      </c>
      <c r="D27">
        <f>COUNTIF(KT_hoa12!E2:E61,TRUE)</f>
      </c>
      <c r="E27">
        <f>IFERROR(INDEX(KT_hoa12!A2:A61,MATCH(FALSE,KT_hoa12!D2:D61,0)),"")</f>
      </c>
    </row>
    <row r="28">
      <c r="A28" t="str">
        <v>Di truyền quần thể: cân bằng Hardy-Weinberg</v>
      </c>
      <c r="B28">
        <v>84</v>
      </c>
      <c r="C28">
        <f>COUNTIF(KT_sinh12!D2:D85,FALSE)</f>
      </c>
      <c r="D28">
        <f>COUNTIF(KT_sinh12!E2:E85,TRUE)</f>
      </c>
      <c r="E28">
        <f>IFERROR(INDEX(KT_sinh12!A2:A85,MATCH(FALSE,KT_sinh12!D2:D85,0)),"")</f>
      </c>
    </row>
    <row r="29">
      <c r="A29" t="str">
        <v>Phân tích dữ liệu khảo sát (Tin học ứng dụng)</v>
      </c>
      <c r="B29">
        <v>49</v>
      </c>
      <c r="C29">
        <f>COUNTIF(KT_tin12!D2:D50,FALSE)</f>
      </c>
      <c r="D29">
        <f>COUNTIF(KT_tin12!E2:E50,TRUE)</f>
      </c>
      <c r="E29">
        <f>IFERROR(INDEX(KT_tin12!A2:A50,MATCH(FALSE,KT_tin12!D2:D50,0)),"")</f>
      </c>
    </row>
    <row r="30">
      <c r="A30" t="str">
        <v>Xác suất có điều kiện và công thức Bayes</v>
      </c>
      <c r="B30">
        <v>60</v>
      </c>
      <c r="C30">
        <f>COUNTIF(KT_toan12xs!D2:D61,FALSE)</f>
      </c>
      <c r="D30">
        <f>COUNTIF(KT_toan12xs!E2:E61,TRUE)</f>
      </c>
      <c r="E30">
        <f>IFERROR(INDEX(KT_toan12xs!A2:A61,MATCH(FALSE,KT_toan12xs!D2:D61,0)),"")</f>
      </c>
    </row>
    <row r="31">
      <c r="A31" t="str">
        <v>Mẫu số liệu ghép nhóm</v>
      </c>
      <c r="B31">
        <v>43</v>
      </c>
      <c r="C31">
        <f>COUNTIF(KT_toan12tk!D2:D44,FALSE)</f>
      </c>
      <c r="D31">
        <f>COUNTIF(KT_toan12tk!E2:E44,TRUE)</f>
      </c>
      <c r="E31">
        <f>IFERROR(INDEX(KT_toan12tk!A2:A44,MATCH(FALSE,KT_toan12tk!D2:D44,0)),"")</f>
      </c>
    </row>
    <row r="32">
      <c r="A32" t="str">
        <v>Vật lí nhiệt: nhiệt lượng và khí lí tưởng</v>
      </c>
      <c r="B32">
        <v>72</v>
      </c>
      <c r="C32">
        <f>COUNTIF(KT_ly12!D2:D73,FALSE)</f>
      </c>
      <c r="D32">
        <f>COUNTIF(KT_ly12!E2:E73,TRUE)</f>
      </c>
      <c r="E32">
        <f>IFERROR(INDEX(KT_ly12!A2:A73,MATCH(FALSE,KT_ly12!D2:D73,0)),"")</f>
      </c>
    </row>
    <row r="33">
      <c r="A33" t="str">
        <v>Phóng xạ: chu kì bán rã</v>
      </c>
      <c r="B33">
        <v>72</v>
      </c>
      <c r="C33">
        <f>COUNTIF(KT_ly12hn!D2:D73,FALSE)</f>
      </c>
      <c r="D33">
        <f>COUNTIF(KT_ly12hn!E2:E73,TRUE)</f>
      </c>
      <c r="E33">
        <f>IFERROR(INDEX(KT_ly12hn!A2:A73,MATCH(FALSE,KT_ly12hn!D2:D73,0)),"")</f>
      </c>
    </row>
    <row r="34">
      <c r="A34" t="str">
        <v>Mạng máy tính: địa chỉ và thời gian truyền tệp</v>
      </c>
      <c r="B34">
        <v>60</v>
      </c>
      <c r="C34">
        <f>COUNTIF(KT_cntt!D2:D61,FALSE)</f>
      </c>
      <c r="D34">
        <f>COUNTIF(KT_cntt!E2:E61,TRUE)</f>
      </c>
      <c r="E34">
        <f>IFERROR(INDEX(KT_cntt!A2:A61,MATCH(FALSE,KT_cntt!D2:D61,0)),"")</f>
      </c>
    </row>
    <row r="35">
      <c r="A35" t="str">
        <v>Dự án đầu tư và vay vốn</v>
      </c>
      <c r="B35">
        <v>143</v>
      </c>
      <c r="C35">
        <f>COUNTIF(KT_kinhte!D2:D144,FALSE)</f>
      </c>
      <c r="D35">
        <f>COUNTIF(KT_kinhte!E2:E144,TRUE)</f>
      </c>
      <c r="E35">
        <f>IFERROR(INDEX(KT_kinhte!A2:A144,MATCH(FALSE,KT_kinhte!D2:D144,0)),"")</f>
      </c>
    </row>
    <row r="36">
      <c r="A36" t="str">
        <v>Chi tiết trục và dung sai</v>
      </c>
      <c r="B36">
        <v>108</v>
      </c>
      <c r="C36">
        <f>COUNTIF(KT_cokhi!D2:D109,FALSE)</f>
      </c>
      <c r="D36">
        <f>COUNTIF(KT_cokhi!E2:E109,TRUE)</f>
      </c>
      <c r="E36">
        <f>IFERROR(INDEX(KT_cokhi!A2:A109,MATCH(FALSE,KT_cokhi!D2:D109,0)),"")</f>
      </c>
    </row>
    <row r="37">
      <c r="A37" t="str">
        <v>Mạch điện và cộng hưởng LC</v>
      </c>
      <c r="B37">
        <v>108</v>
      </c>
      <c r="C37">
        <f>COUNTIF(KT_dientu!D2:D109,FALSE)</f>
      </c>
      <c r="D37">
        <f>COUNTIF(KT_dientu!E2:E109,TRUE)</f>
      </c>
      <c r="E37">
        <f>IFERROR(INDEX(KT_dientu!A2:A109,MATCH(FALSE,KT_dientu!D2:D109,0)),"")</f>
      </c>
    </row>
    <row r="38">
      <c r="A38" t="str">
        <v>Kho văn phòng phẩm</v>
      </c>
      <c r="B38">
        <v>70</v>
      </c>
      <c r="C38">
        <f>COUNTIF(KT_kho!D2:D71,FALSE)</f>
      </c>
      <c r="D38">
        <f>COUNTIF(KT_kho!E2:E71,TRUE)</f>
      </c>
      <c r="E38">
        <f>IFERROR(INDEX(KT_kho!A2:A71,MATCH(FALSE,KT_kho!D2:D71,0)),"")</f>
      </c>
    </row>
    <row r="39">
      <c r="A39" t="str">
        <v>Đơn hàng bán lẻ</v>
      </c>
      <c r="B39">
        <v>81</v>
      </c>
      <c r="C39">
        <f>COUNTIF(KT_donhang!D2:D82,FALSE)</f>
      </c>
      <c r="D39">
        <f>COUNTIF(KT_donhang!E2:E82,TRUE)</f>
      </c>
      <c r="E39">
        <f>IFERROR(INDEX(KT_donhang!A2:A82,MATCH(FALSE,KT_donhang!D2:D82,0)),"")</f>
      </c>
    </row>
    <row r="40">
      <c r="A40" t="str">
        <v>Bảng điểm môn học</v>
      </c>
      <c r="B40">
        <v>93</v>
      </c>
      <c r="C40">
        <f>COUNTIF(KT_diem!D2:D94,FALSE)</f>
      </c>
      <c r="D40">
        <f>COUNTIF(KT_diem!E2:E94,TRUE)</f>
      </c>
      <c r="E40">
        <f>IFERROR(INDEX(KT_diem!A2:A94,MATCH(FALSE,KT_diem!D2:D94,0)),"")</f>
      </c>
    </row>
    <row r="41">
      <c r="A41" t="str">
        <v>Hợp đồng thuê phòng</v>
      </c>
      <c r="B41">
        <v>93</v>
      </c>
      <c r="C41">
        <f>COUNTIF(KT_thue!D2:D94,FALSE)</f>
      </c>
      <c r="D41">
        <f>COUNTIF(KT_thue!E2:E94,TRUE)</f>
      </c>
      <c r="E41">
        <f>IFERROR(INDEX(KT_thue!A2:A94,MATCH(FALSE,KT_thue!D2:D94,0)),"")</f>
      </c>
    </row>
    <row r="42">
      <c r="A42" t="str">
        <v>Bảng lương nhân viên</v>
      </c>
      <c r="B42">
        <v>80</v>
      </c>
      <c r="C42">
        <f>COUNTIF(KT_luong!D2:D81,FALSE)</f>
      </c>
      <c r="D42">
        <f>COUNTIF(KT_luong!E2:E81,TRUE)</f>
      </c>
      <c r="E42">
        <f>IFERROR(INDEX(KT_luong!A2:A81,MATCH(FALSE,KT_luong!D2:D81,0)),"")</f>
      </c>
    </row>
    <row r="43">
      <c r="A43" t="str">
        <v>Hồi quy tuyến tính đơn</v>
      </c>
      <c r="B43">
        <v>33</v>
      </c>
      <c r="C43">
        <f>COUNTIF(KT_hoiquy!D2:D34,FALSE)</f>
      </c>
      <c r="D43">
        <f>COUNTIF(KT_hoiquy!E2:E34,TRUE)</f>
      </c>
      <c r="E43">
        <f>IFERROR(INDEX(KT_hoiquy!A2:A34,MATCH(FALSE,KT_hoiquy!D2:D34,0)),"")</f>
      </c>
    </row>
    <row r="44">
      <c r="A44" t="str">
        <v>Khối lượng bê tông và thép cấu kiện</v>
      </c>
      <c r="B44">
        <v>72</v>
      </c>
      <c r="C44">
        <f>COUNTIF(KT_xaydung!D2:D73,FALSE)</f>
      </c>
      <c r="D44">
        <f>COUNTIF(KT_xaydung!E2:E73,TRUE)</f>
      </c>
      <c r="E44">
        <f>IFERROR(INDEX(KT_xaydung!A2:A73,MATCH(FALSE,KT_xaydung!D2:D73,0)),"")</f>
      </c>
    </row>
    <row r="45">
      <c r="A45" t="str">
        <v>Chỉ số BMI và liều thuốc theo cân nặng</v>
      </c>
      <c r="B45">
        <v>60</v>
      </c>
      <c r="C45">
        <f>COUNTIF(KT_yduoc!D2:D61,FALSE)</f>
      </c>
      <c r="D45">
        <f>COUNTIF(KT_yduoc!E2:E61,TRUE)</f>
      </c>
      <c r="E45">
        <f>IFERROR(INDEX(KT_yduoc!A2:A61,MATCH(FALSE,KT_yduoc!D2:D61,0)),"")</f>
      </c>
    </row>
    <row r="46">
      <c r="A46" t="str">
        <v>Nhân mã đề (biến thể B)</v>
      </c>
      <c r="B46">
        <v>60</v>
      </c>
      <c r="C46">
        <f>COUNTIF(KT_nhanmade!D2:D61,FALSE)</f>
      </c>
      <c r="D46">
        <f>COUNTIF(KT_nhanmade!E2:E61,TRUE)</f>
      </c>
      <c r="E46">
        <f>IFERROR(INDEX(KT_nhanmade!A2:A61,MATCH(FALSE,KT_nhanmade!D2:D61,0)),"")</f>
      </c>
    </row>
    <row r="48">
      <c r="A48" t="str">
        <v>TỔNG SỐ Ô LỆCH</v>
      </c>
      <c r="B48">
        <f>SUM(C2:C46)</f>
      </c>
    </row>
    <row r="49">
      <c r="A49" t="str">
        <v>TỔNG SỐ Ô LỖI</v>
      </c>
      <c r="B49">
        <f>SUM(D2:D46)</f>
      </c>
    </row>
    <row r="50">
      <c r="A50" t="str">
        <v>KẾT LUẬN</v>
      </c>
      <c r="B50">
        <f>IF(AND(B48=0,B49=0),"MAY CHAM KHOP 100% VOI EXCEL","CO O LECH - XEM SHEET KT_*")</f>
      </c>
    </row>
    <row r="52">
      <c r="A52" t="str">
        <v>File này do Giáo Viên Gọn (chamdiem.orvane.vn) sinh ra để tự kiểm chứng. Dữ liệu hư cấu. Khi mở, Excel tự tính lại mọi công thức rồi so với giá trị máy chấm đã tính.</v>
      </c>
    </row>
  </sheetData>
  <ignoredErrors>
    <ignoredError numberStoredAsText="1" sqref="A1:E52"/>
  </ignoredErrors>
</worksheet>
</file>

<file path=xl/worksheets/sheet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MaSK</v>
      </c>
      <c r="B1" t="str">
        <v>NamBD</v>
      </c>
      <c r="C1" t="str">
        <v>NamKT</v>
      </c>
      <c r="D1" t="str">
        <v>TheKy</v>
      </c>
      <c r="E1" t="str">
        <v>ThapKy</v>
      </c>
      <c r="F1" t="str">
        <v>KeoDai</v>
      </c>
      <c r="G1" t="str">
        <v>CachNay</v>
      </c>
      <c r="H1" t="str">
        <v>ThoiKy</v>
      </c>
      <c r="T1" t="str">
        <v>NamNay</v>
      </c>
      <c r="U1">
        <v>2026</v>
      </c>
      <c r="W1" t="str">
        <v>ThoiKy</v>
      </c>
      <c r="Y1" t="str">
        <v>TongHop</v>
      </c>
      <c r="Z1" t="str">
        <v>KetQua</v>
      </c>
    </row>
    <row r="2">
      <c r="A2" t="str">
        <v>SK01</v>
      </c>
      <c r="B2">
        <v>1945</v>
      </c>
      <c r="C2">
        <v>1957</v>
      </c>
      <c r="D2">
        <f>ROUNDUP(B2/100,0)</f>
        <v>20</v>
      </c>
      <c r="E2">
        <f>INT(B2/10)*10</f>
        <v>1940</v>
      </c>
      <c r="F2">
        <f>C2-B2</f>
        <v>12</v>
      </c>
      <c r="G2">
        <f>$U$1-C2</f>
        <v>69</v>
      </c>
      <c r="H2" t="str">
        <f>IF(B2&lt;1000,"TRUOC 1000",IF(B2&lt;1800,"TRUNG DAI","CAN HIEN DAI"))</f>
        <v>CAN HIEN DAI</v>
      </c>
      <c r="W2" t="str">
        <v>CAN HIEN DAI</v>
      </c>
      <c r="Y2" t="str">
        <v>Ma MaSK co KeoDai lon nhat</v>
      </c>
      <c r="Z2" t="str">
        <f>INDEX(A2:A13,MATCH(MAX(F2:F13),F2:F13,0))</f>
        <v>SK11</v>
      </c>
    </row>
    <row r="3">
      <c r="A3" t="str">
        <v>SK02</v>
      </c>
      <c r="B3">
        <v>1492</v>
      </c>
      <c r="C3">
        <v>1494</v>
      </c>
      <c r="D3">
        <f>ROUNDUP(B3/100,0)</f>
        <v>15</v>
      </c>
      <c r="E3">
        <f>INT(B3/10)*10</f>
        <v>1490</v>
      </c>
      <c r="F3">
        <f>C3-B3</f>
        <v>2</v>
      </c>
      <c r="G3">
        <f>$U$1-C3</f>
        <v>532</v>
      </c>
      <c r="H3" t="str">
        <f>IF(B3&lt;1000,"TRUOC 1000",IF(B3&lt;1800,"TRUNG DAI","CAN HIEN DAI"))</f>
        <v>TRUNG DAI</v>
      </c>
      <c r="Y3" t="str">
        <v>Tong KeoDai khi ThoiKy = CAN HIEN DAI</v>
      </c>
      <c r="Z3">
        <f>SUMIF(H2:H13,"CAN HIEN DAI",F2:F13)</f>
        <v>42</v>
      </c>
    </row>
    <row r="4">
      <c r="A4" t="str">
        <v>SK03</v>
      </c>
      <c r="B4">
        <v>916</v>
      </c>
      <c r="C4">
        <v>939</v>
      </c>
      <c r="D4">
        <f>ROUNDUP(B4/100,0)</f>
        <v>10</v>
      </c>
      <c r="E4">
        <f>INT(B4/10)*10</f>
        <v>910</v>
      </c>
      <c r="F4">
        <f>C4-B4</f>
        <v>23</v>
      </c>
      <c r="G4">
        <f>$U$1-C4</f>
        <v>1087</v>
      </c>
      <c r="H4" t="str">
        <f>IF(B4&lt;1000,"TRUOC 1000",IF(B4&lt;1800,"TRUNG DAI","CAN HIEN DAI"))</f>
        <v>TRUOC 1000</v>
      </c>
      <c r="Y4" t="str">
        <v>So dong ThoiKy = TRUNG DAI, TheKy &gt;=13</v>
      </c>
      <c r="Z4">
        <f>COUNTIFS(H2:H13,"TRUNG DAI",D2:D13,"&gt;=13")</f>
        <v>5</v>
      </c>
    </row>
    <row r="5">
      <c r="A5" t="str">
        <v>SK04</v>
      </c>
      <c r="B5">
        <v>908</v>
      </c>
      <c r="C5">
        <v>931</v>
      </c>
      <c r="D5">
        <f>ROUNDUP(B5/100,0)</f>
        <v>10</v>
      </c>
      <c r="E5">
        <f>INT(B5/10)*10</f>
        <v>900</v>
      </c>
      <c r="F5">
        <f>C5-B5</f>
        <v>23</v>
      </c>
      <c r="G5">
        <f>$U$1-C5</f>
        <v>1095</v>
      </c>
      <c r="H5" t="str">
        <f>IF(B5&lt;1000,"TRUOC 1000",IF(B5&lt;1800,"TRUNG DAI","CAN HIEN DAI"))</f>
        <v>TRUOC 1000</v>
      </c>
      <c r="Y5" t="str">
        <v>CachNay trung binh khi ThoiKy = TRUNG DAI</v>
      </c>
      <c r="Z5">
        <f>AVERAGEIF(H2:H13,"TRUNG DAI",G2:G13)</f>
        <v>634.4285714285714</v>
      </c>
    </row>
    <row r="6">
      <c r="A6" t="str">
        <v>SK05</v>
      </c>
      <c r="B6">
        <v>1236</v>
      </c>
      <c r="C6">
        <v>1255</v>
      </c>
      <c r="D6">
        <f>ROUNDUP(B6/100,0)</f>
        <v>13</v>
      </c>
      <c r="E6">
        <f>INT(B6/10)*10</f>
        <v>1230</v>
      </c>
      <c r="F6">
        <f>C6-B6</f>
        <v>19</v>
      </c>
      <c r="G6">
        <f>$U$1-C6</f>
        <v>771</v>
      </c>
      <c r="H6" t="str">
        <f>IF(B6&lt;1000,"TRUOC 1000",IF(B6&lt;1800,"TRUNG DAI","CAN HIEN DAI"))</f>
        <v>TRUNG DAI</v>
      </c>
      <c r="Y6" t="str">
        <v>KeoDai lon nhat khi ThoiKy = CAN HIEN DAI</v>
      </c>
      <c r="Z6">
        <f>_xlfn.MAXIFS(F2:F13,H2:H13,"CAN HIEN DAI")</f>
        <v>24</v>
      </c>
    </row>
    <row r="7">
      <c r="A7" t="str">
        <v>SK06</v>
      </c>
      <c r="B7">
        <v>1603</v>
      </c>
      <c r="C7">
        <v>1611</v>
      </c>
      <c r="D7">
        <f>ROUNDUP(B7/100,0)</f>
        <v>17</v>
      </c>
      <c r="E7">
        <f>INT(B7/10)*10</f>
        <v>1600</v>
      </c>
      <c r="F7">
        <f>C7-B7</f>
        <v>8</v>
      </c>
      <c r="G7">
        <f>$U$1-C7</f>
        <v>415</v>
      </c>
      <c r="H7" t="str">
        <f>IF(B7&lt;1000,"TRUOC 1000",IF(B7&lt;1800,"TRUNG DAI","CAN HIEN DAI"))</f>
        <v>TRUNG DAI</v>
      </c>
      <c r="Y7" t="str">
        <v>KeoDai trung vi</v>
      </c>
      <c r="Z7">
        <f>MEDIAN(F2:F13)</f>
        <v>20</v>
      </c>
    </row>
    <row r="8">
      <c r="A8" t="str">
        <v>SK07</v>
      </c>
      <c r="B8">
        <v>1288</v>
      </c>
      <c r="C8">
        <v>1310</v>
      </c>
      <c r="D8">
        <f>ROUNDUP(B8/100,0)</f>
        <v>13</v>
      </c>
      <c r="E8">
        <f>INT(B8/10)*10</f>
        <v>1280</v>
      </c>
      <c r="F8">
        <f>C8-B8</f>
        <v>22</v>
      </c>
      <c r="G8">
        <f>$U$1-C8</f>
        <v>716</v>
      </c>
      <c r="H8" t="str">
        <f>IF(B8&lt;1000,"TRUOC 1000",IF(B8&lt;1800,"TRUNG DAI","CAN HIEN DAI"))</f>
        <v>TRUNG DAI</v>
      </c>
      <c r="Y8" t="str">
        <v>KeoDai lon thu hai</v>
      </c>
      <c r="Z8">
        <f>LARGE(F2:F13,2)</f>
        <v>23</v>
      </c>
    </row>
    <row r="9">
      <c r="A9" t="str">
        <v>SK08</v>
      </c>
      <c r="B9">
        <v>1737</v>
      </c>
      <c r="C9">
        <v>1759</v>
      </c>
      <c r="D9">
        <f>ROUNDUP(B9/100,0)</f>
        <v>18</v>
      </c>
      <c r="E9">
        <f>INT(B9/10)*10</f>
        <v>1730</v>
      </c>
      <c r="F9">
        <f>C9-B9</f>
        <v>22</v>
      </c>
      <c r="G9">
        <f>$U$1-C9</f>
        <v>267</v>
      </c>
      <c r="H9" t="str">
        <f>IF(B9&lt;1000,"TRUOC 1000",IF(B9&lt;1800,"TRUNG DAI","CAN HIEN DAI"))</f>
        <v>TRUNG DAI</v>
      </c>
      <c r="Y9" t="str">
        <v>Do lech chuan KeoDai</v>
      </c>
      <c r="Z9">
        <f>ROUND(STDEV(F2:F13),2)</f>
        <v>7.7</v>
      </c>
    </row>
    <row r="10">
      <c r="A10" t="str">
        <v>SK09</v>
      </c>
      <c r="B10">
        <v>1141</v>
      </c>
      <c r="C10">
        <v>1162</v>
      </c>
      <c r="D10">
        <f>ROUNDUP(B10/100,0)</f>
        <v>12</v>
      </c>
      <c r="E10">
        <f>INT(B10/10)*10</f>
        <v>1140</v>
      </c>
      <c r="F10">
        <f>C10-B10</f>
        <v>21</v>
      </c>
      <c r="G10">
        <f>$U$1-C10</f>
        <v>864</v>
      </c>
      <c r="H10" t="str">
        <f>IF(B10&lt;1000,"TRUOC 1000",IF(B10&lt;1800,"TRUNG DAI","CAN HIEN DAI"))</f>
        <v>TRUNG DAI</v>
      </c>
      <c r="Y10" t="str">
        <v>Tong KeoDai theo tieu chi W1:W2</v>
      </c>
      <c r="Z10">
        <f>DSUM(A1:H13,"KeoDai",W1:W2)</f>
        <v>42</v>
      </c>
    </row>
    <row r="11">
      <c r="A11" t="str">
        <v>SK10</v>
      </c>
      <c r="B11">
        <v>1851</v>
      </c>
      <c r="C11">
        <v>1857</v>
      </c>
      <c r="D11">
        <f>ROUNDUP(B11/100,0)</f>
        <v>19</v>
      </c>
      <c r="E11">
        <f>INT(B11/10)*10</f>
        <v>1850</v>
      </c>
      <c r="F11">
        <f>C11-B11</f>
        <v>6</v>
      </c>
      <c r="G11">
        <f>$U$1-C11</f>
        <v>169</v>
      </c>
      <c r="H11" t="str">
        <f>IF(B11&lt;1000,"TRUOC 1000",IF(B11&lt;1800,"TRUNG DAI","CAN HIEN DAI"))</f>
        <v>CAN HIEN DAI</v>
      </c>
      <c r="Y11" t="str">
        <v>So dong theo tieu chi W1:W2</v>
      </c>
      <c r="Z11">
        <f>DCOUNT(A1:H13,"KeoDai",W1:W2)</f>
        <v>3</v>
      </c>
    </row>
    <row r="12">
      <c r="A12" t="str">
        <v>SK11</v>
      </c>
      <c r="B12">
        <v>1920</v>
      </c>
      <c r="C12">
        <v>1944</v>
      </c>
      <c r="D12">
        <f>ROUNDUP(B12/100,0)</f>
        <v>20</v>
      </c>
      <c r="E12">
        <f>INT(B12/10)*10</f>
        <v>1920</v>
      </c>
      <c r="F12">
        <f>C12-B12</f>
        <v>24</v>
      </c>
      <c r="G12">
        <f>$U$1-C12</f>
        <v>82</v>
      </c>
      <c r="H12" t="str">
        <f>IF(B12&lt;1000,"TRUOC 1000",IF(B12&lt;1800,"TRUNG DAI","CAN HIEN DAI"))</f>
        <v>CAN HIEN DAI</v>
      </c>
      <c r="Y12" t="str">
        <v>Tong KeoDai khi ThoiKy = CAN HIEN DAI (SUMPRODUCT)</v>
      </c>
      <c r="Z12">
        <f>SUMPRODUCT((H2:H13="CAN HIEN DAI")*F2:F13)</f>
        <v>42</v>
      </c>
    </row>
    <row r="13">
      <c r="A13" t="str">
        <v>SK12</v>
      </c>
      <c r="B13">
        <v>1137</v>
      </c>
      <c r="C13">
        <v>1150</v>
      </c>
      <c r="D13">
        <f>ROUNDUP(B13/100,0)</f>
        <v>12</v>
      </c>
      <c r="E13">
        <f>INT(B13/10)*10</f>
        <v>1130</v>
      </c>
      <c r="F13">
        <f>C13-B13</f>
        <v>13</v>
      </c>
      <c r="G13">
        <f>$U$1-C13</f>
        <v>876</v>
      </c>
      <c r="H13" t="str">
        <f>IF(B13&lt;1000,"TRUOC 1000",IF(B13&lt;1800,"TRUNG DAI","CAN HIEN DAI"))</f>
        <v>TRUNG DAI</v>
      </c>
      <c r="Y13" t="str">
        <v>Tong NamBD x KeoDai</v>
      </c>
      <c r="Z13">
        <f>SUMPRODUCT(B2:B13,F2:F13)</f>
        <v>267062</v>
      </c>
    </row>
  </sheetData>
  <ignoredErrors>
    <ignoredError numberStoredAsText="1" sqref="A1:Z13"/>
  </ignoredErrors>
</worksheet>
</file>

<file path=xl/worksheets/sheet3.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20</v>
      </c>
      <c r="C2">
        <f>'su6'!D2</f>
      </c>
      <c r="D2">
        <f>IF(ISERROR(C2),LEFT(B2&amp;"",1)="#",IF(ISNUMBER(C2),AND(ISNUMBER(B2),ABS(C2-B2)&lt;=0.000001*MAX(1,ABS(B2))),EXACT(C2&amp;"",B2&amp;"")))</f>
      </c>
      <c r="E2">
        <f>ISERROR(C2)</f>
      </c>
    </row>
    <row r="3">
      <c r="A3" t="str">
        <v>D3</v>
      </c>
      <c r="B3">
        <v>15</v>
      </c>
      <c r="C3">
        <f>'su6'!D3</f>
      </c>
      <c r="D3">
        <f>IF(ISERROR(C3),LEFT(B3&amp;"",1)="#",IF(ISNUMBER(C3),AND(ISNUMBER(B3),ABS(C3-B3)&lt;=0.000001*MAX(1,ABS(B3))),EXACT(C3&amp;"",B3&amp;"")))</f>
      </c>
      <c r="E3">
        <f>ISERROR(C3)</f>
      </c>
    </row>
    <row r="4">
      <c r="A4" t="str">
        <v>D4</v>
      </c>
      <c r="B4">
        <v>10</v>
      </c>
      <c r="C4">
        <f>'su6'!D4</f>
      </c>
      <c r="D4">
        <f>IF(ISERROR(C4),LEFT(B4&amp;"",1)="#",IF(ISNUMBER(C4),AND(ISNUMBER(B4),ABS(C4-B4)&lt;=0.000001*MAX(1,ABS(B4))),EXACT(C4&amp;"",B4&amp;"")))</f>
      </c>
      <c r="E4">
        <f>ISERROR(C4)</f>
      </c>
    </row>
    <row r="5">
      <c r="A5" t="str">
        <v>D5</v>
      </c>
      <c r="B5">
        <v>10</v>
      </c>
      <c r="C5">
        <f>'su6'!D5</f>
      </c>
      <c r="D5">
        <f>IF(ISERROR(C5),LEFT(B5&amp;"",1)="#",IF(ISNUMBER(C5),AND(ISNUMBER(B5),ABS(C5-B5)&lt;=0.000001*MAX(1,ABS(B5))),EXACT(C5&amp;"",B5&amp;"")))</f>
      </c>
      <c r="E5">
        <f>ISERROR(C5)</f>
      </c>
    </row>
    <row r="6">
      <c r="A6" t="str">
        <v>D6</v>
      </c>
      <c r="B6">
        <v>13</v>
      </c>
      <c r="C6">
        <f>'su6'!D6</f>
      </c>
      <c r="D6">
        <f>IF(ISERROR(C6),LEFT(B6&amp;"",1)="#",IF(ISNUMBER(C6),AND(ISNUMBER(B6),ABS(C6-B6)&lt;=0.000001*MAX(1,ABS(B6))),EXACT(C6&amp;"",B6&amp;"")))</f>
      </c>
      <c r="E6">
        <f>ISERROR(C6)</f>
      </c>
    </row>
    <row r="7">
      <c r="A7" t="str">
        <v>D7</v>
      </c>
      <c r="B7">
        <v>17</v>
      </c>
      <c r="C7">
        <f>'su6'!D7</f>
      </c>
      <c r="D7">
        <f>IF(ISERROR(C7),LEFT(B7&amp;"",1)="#",IF(ISNUMBER(C7),AND(ISNUMBER(B7),ABS(C7-B7)&lt;=0.000001*MAX(1,ABS(B7))),EXACT(C7&amp;"",B7&amp;"")))</f>
      </c>
      <c r="E7">
        <f>ISERROR(C7)</f>
      </c>
    </row>
    <row r="8">
      <c r="A8" t="str">
        <v>D8</v>
      </c>
      <c r="B8">
        <v>13</v>
      </c>
      <c r="C8">
        <f>'su6'!D8</f>
      </c>
      <c r="D8">
        <f>IF(ISERROR(C8),LEFT(B8&amp;"",1)="#",IF(ISNUMBER(C8),AND(ISNUMBER(B8),ABS(C8-B8)&lt;=0.000001*MAX(1,ABS(B8))),EXACT(C8&amp;"",B8&amp;"")))</f>
      </c>
      <c r="E8">
        <f>ISERROR(C8)</f>
      </c>
    </row>
    <row r="9">
      <c r="A9" t="str">
        <v>D9</v>
      </c>
      <c r="B9">
        <v>18</v>
      </c>
      <c r="C9">
        <f>'su6'!D9</f>
      </c>
      <c r="D9">
        <f>IF(ISERROR(C9),LEFT(B9&amp;"",1)="#",IF(ISNUMBER(C9),AND(ISNUMBER(B9),ABS(C9-B9)&lt;=0.000001*MAX(1,ABS(B9))),EXACT(C9&amp;"",B9&amp;"")))</f>
      </c>
      <c r="E9">
        <f>ISERROR(C9)</f>
      </c>
    </row>
    <row r="10">
      <c r="A10" t="str">
        <v>D10</v>
      </c>
      <c r="B10">
        <v>12</v>
      </c>
      <c r="C10">
        <f>'su6'!D10</f>
      </c>
      <c r="D10">
        <f>IF(ISERROR(C10),LEFT(B10&amp;"",1)="#",IF(ISNUMBER(C10),AND(ISNUMBER(B10),ABS(C10-B10)&lt;=0.000001*MAX(1,ABS(B10))),EXACT(C10&amp;"",B10&amp;"")))</f>
      </c>
      <c r="E10">
        <f>ISERROR(C10)</f>
      </c>
    </row>
    <row r="11">
      <c r="A11" t="str">
        <v>D11</v>
      </c>
      <c r="B11">
        <v>19</v>
      </c>
      <c r="C11">
        <f>'su6'!D11</f>
      </c>
      <c r="D11">
        <f>IF(ISERROR(C11),LEFT(B11&amp;"",1)="#",IF(ISNUMBER(C11),AND(ISNUMBER(B11),ABS(C11-B11)&lt;=0.000001*MAX(1,ABS(B11))),EXACT(C11&amp;"",B11&amp;"")))</f>
      </c>
      <c r="E11">
        <f>ISERROR(C11)</f>
      </c>
    </row>
    <row r="12">
      <c r="A12" t="str">
        <v>D12</v>
      </c>
      <c r="B12">
        <v>20</v>
      </c>
      <c r="C12">
        <f>'su6'!D12</f>
      </c>
      <c r="D12">
        <f>IF(ISERROR(C12),LEFT(B12&amp;"",1)="#",IF(ISNUMBER(C12),AND(ISNUMBER(B12),ABS(C12-B12)&lt;=0.000001*MAX(1,ABS(B12))),EXACT(C12&amp;"",B12&amp;"")))</f>
      </c>
      <c r="E12">
        <f>ISERROR(C12)</f>
      </c>
    </row>
    <row r="13">
      <c r="A13" t="str">
        <v>D13</v>
      </c>
      <c r="B13">
        <v>12</v>
      </c>
      <c r="C13">
        <f>'su6'!D13</f>
      </c>
      <c r="D13">
        <f>IF(ISERROR(C13),LEFT(B13&amp;"",1)="#",IF(ISNUMBER(C13),AND(ISNUMBER(B13),ABS(C13-B13)&lt;=0.000001*MAX(1,ABS(B13))),EXACT(C13&amp;"",B13&amp;"")))</f>
      </c>
      <c r="E13">
        <f>ISERROR(C13)</f>
      </c>
    </row>
    <row r="14">
      <c r="A14" t="str">
        <v>E2</v>
      </c>
      <c r="B14">
        <v>1940</v>
      </c>
      <c r="C14">
        <f>'su6'!E2</f>
      </c>
      <c r="D14">
        <f>IF(ISERROR(C14),LEFT(B14&amp;"",1)="#",IF(ISNUMBER(C14),AND(ISNUMBER(B14),ABS(C14-B14)&lt;=0.000001*MAX(1,ABS(B14))),EXACT(C14&amp;"",B14&amp;"")))</f>
      </c>
      <c r="E14">
        <f>ISERROR(C14)</f>
      </c>
    </row>
    <row r="15">
      <c r="A15" t="str">
        <v>E3</v>
      </c>
      <c r="B15">
        <v>1490</v>
      </c>
      <c r="C15">
        <f>'su6'!E3</f>
      </c>
      <c r="D15">
        <f>IF(ISERROR(C15),LEFT(B15&amp;"",1)="#",IF(ISNUMBER(C15),AND(ISNUMBER(B15),ABS(C15-B15)&lt;=0.000001*MAX(1,ABS(B15))),EXACT(C15&amp;"",B15&amp;"")))</f>
      </c>
      <c r="E15">
        <f>ISERROR(C15)</f>
      </c>
    </row>
    <row r="16">
      <c r="A16" t="str">
        <v>E4</v>
      </c>
      <c r="B16">
        <v>910</v>
      </c>
      <c r="C16">
        <f>'su6'!E4</f>
      </c>
      <c r="D16">
        <f>IF(ISERROR(C16),LEFT(B16&amp;"",1)="#",IF(ISNUMBER(C16),AND(ISNUMBER(B16),ABS(C16-B16)&lt;=0.000001*MAX(1,ABS(B16))),EXACT(C16&amp;"",B16&amp;"")))</f>
      </c>
      <c r="E16">
        <f>ISERROR(C16)</f>
      </c>
    </row>
    <row r="17">
      <c r="A17" t="str">
        <v>E5</v>
      </c>
      <c r="B17">
        <v>900</v>
      </c>
      <c r="C17">
        <f>'su6'!E5</f>
      </c>
      <c r="D17">
        <f>IF(ISERROR(C17),LEFT(B17&amp;"",1)="#",IF(ISNUMBER(C17),AND(ISNUMBER(B17),ABS(C17-B17)&lt;=0.000001*MAX(1,ABS(B17))),EXACT(C17&amp;"",B17&amp;"")))</f>
      </c>
      <c r="E17">
        <f>ISERROR(C17)</f>
      </c>
    </row>
    <row r="18">
      <c r="A18" t="str">
        <v>E6</v>
      </c>
      <c r="B18">
        <v>1230</v>
      </c>
      <c r="C18">
        <f>'su6'!E6</f>
      </c>
      <c r="D18">
        <f>IF(ISERROR(C18),LEFT(B18&amp;"",1)="#",IF(ISNUMBER(C18),AND(ISNUMBER(B18),ABS(C18-B18)&lt;=0.000001*MAX(1,ABS(B18))),EXACT(C18&amp;"",B18&amp;"")))</f>
      </c>
      <c r="E18">
        <f>ISERROR(C18)</f>
      </c>
    </row>
    <row r="19">
      <c r="A19" t="str">
        <v>E7</v>
      </c>
      <c r="B19">
        <v>1600</v>
      </c>
      <c r="C19">
        <f>'su6'!E7</f>
      </c>
      <c r="D19">
        <f>IF(ISERROR(C19),LEFT(B19&amp;"",1)="#",IF(ISNUMBER(C19),AND(ISNUMBER(B19),ABS(C19-B19)&lt;=0.000001*MAX(1,ABS(B19))),EXACT(C19&amp;"",B19&amp;"")))</f>
      </c>
      <c r="E19">
        <f>ISERROR(C19)</f>
      </c>
    </row>
    <row r="20">
      <c r="A20" t="str">
        <v>E8</v>
      </c>
      <c r="B20">
        <v>1280</v>
      </c>
      <c r="C20">
        <f>'su6'!E8</f>
      </c>
      <c r="D20">
        <f>IF(ISERROR(C20),LEFT(B20&amp;"",1)="#",IF(ISNUMBER(C20),AND(ISNUMBER(B20),ABS(C20-B20)&lt;=0.000001*MAX(1,ABS(B20))),EXACT(C20&amp;"",B20&amp;"")))</f>
      </c>
      <c r="E20">
        <f>ISERROR(C20)</f>
      </c>
    </row>
    <row r="21">
      <c r="A21" t="str">
        <v>E9</v>
      </c>
      <c r="B21">
        <v>1730</v>
      </c>
      <c r="C21">
        <f>'su6'!E9</f>
      </c>
      <c r="D21">
        <f>IF(ISERROR(C21),LEFT(B21&amp;"",1)="#",IF(ISNUMBER(C21),AND(ISNUMBER(B21),ABS(C21-B21)&lt;=0.000001*MAX(1,ABS(B21))),EXACT(C21&amp;"",B21&amp;"")))</f>
      </c>
      <c r="E21">
        <f>ISERROR(C21)</f>
      </c>
    </row>
    <row r="22">
      <c r="A22" t="str">
        <v>E10</v>
      </c>
      <c r="B22">
        <v>1140</v>
      </c>
      <c r="C22">
        <f>'su6'!E10</f>
      </c>
      <c r="D22">
        <f>IF(ISERROR(C22),LEFT(B22&amp;"",1)="#",IF(ISNUMBER(C22),AND(ISNUMBER(B22),ABS(C22-B22)&lt;=0.000001*MAX(1,ABS(B22))),EXACT(C22&amp;"",B22&amp;"")))</f>
      </c>
      <c r="E22">
        <f>ISERROR(C22)</f>
      </c>
    </row>
    <row r="23">
      <c r="A23" t="str">
        <v>E11</v>
      </c>
      <c r="B23">
        <v>1850</v>
      </c>
      <c r="C23">
        <f>'su6'!E11</f>
      </c>
      <c r="D23">
        <f>IF(ISERROR(C23),LEFT(B23&amp;"",1)="#",IF(ISNUMBER(C23),AND(ISNUMBER(B23),ABS(C23-B23)&lt;=0.000001*MAX(1,ABS(B23))),EXACT(C23&amp;"",B23&amp;"")))</f>
      </c>
      <c r="E23">
        <f>ISERROR(C23)</f>
      </c>
    </row>
    <row r="24">
      <c r="A24" t="str">
        <v>E12</v>
      </c>
      <c r="B24">
        <v>1920</v>
      </c>
      <c r="C24">
        <f>'su6'!E12</f>
      </c>
      <c r="D24">
        <f>IF(ISERROR(C24),LEFT(B24&amp;"",1)="#",IF(ISNUMBER(C24),AND(ISNUMBER(B24),ABS(C24-B24)&lt;=0.000001*MAX(1,ABS(B24))),EXACT(C24&amp;"",B24&amp;"")))</f>
      </c>
      <c r="E24">
        <f>ISERROR(C24)</f>
      </c>
    </row>
    <row r="25">
      <c r="A25" t="str">
        <v>E13</v>
      </c>
      <c r="B25">
        <v>1130</v>
      </c>
      <c r="C25">
        <f>'su6'!E13</f>
      </c>
      <c r="D25">
        <f>IF(ISERROR(C25),LEFT(B25&amp;"",1)="#",IF(ISNUMBER(C25),AND(ISNUMBER(B25),ABS(C25-B25)&lt;=0.000001*MAX(1,ABS(B25))),EXACT(C25&amp;"",B25&amp;"")))</f>
      </c>
      <c r="E25">
        <f>ISERROR(C25)</f>
      </c>
    </row>
    <row r="26">
      <c r="A26" t="str">
        <v>F2</v>
      </c>
      <c r="B26">
        <v>12</v>
      </c>
      <c r="C26">
        <f>'su6'!F2</f>
      </c>
      <c r="D26">
        <f>IF(ISERROR(C26),LEFT(B26&amp;"",1)="#",IF(ISNUMBER(C26),AND(ISNUMBER(B26),ABS(C26-B26)&lt;=0.000001*MAX(1,ABS(B26))),EXACT(C26&amp;"",B26&amp;"")))</f>
      </c>
      <c r="E26">
        <f>ISERROR(C26)</f>
      </c>
    </row>
    <row r="27">
      <c r="A27" t="str">
        <v>F3</v>
      </c>
      <c r="B27">
        <v>2</v>
      </c>
      <c r="C27">
        <f>'su6'!F3</f>
      </c>
      <c r="D27">
        <f>IF(ISERROR(C27),LEFT(B27&amp;"",1)="#",IF(ISNUMBER(C27),AND(ISNUMBER(B27),ABS(C27-B27)&lt;=0.000001*MAX(1,ABS(B27))),EXACT(C27&amp;"",B27&amp;"")))</f>
      </c>
      <c r="E27">
        <f>ISERROR(C27)</f>
      </c>
    </row>
    <row r="28">
      <c r="A28" t="str">
        <v>F4</v>
      </c>
      <c r="B28">
        <v>23</v>
      </c>
      <c r="C28">
        <f>'su6'!F4</f>
      </c>
      <c r="D28">
        <f>IF(ISERROR(C28),LEFT(B28&amp;"",1)="#",IF(ISNUMBER(C28),AND(ISNUMBER(B28),ABS(C28-B28)&lt;=0.000001*MAX(1,ABS(B28))),EXACT(C28&amp;"",B28&amp;"")))</f>
      </c>
      <c r="E28">
        <f>ISERROR(C28)</f>
      </c>
    </row>
    <row r="29">
      <c r="A29" t="str">
        <v>F5</v>
      </c>
      <c r="B29">
        <v>23</v>
      </c>
      <c r="C29">
        <f>'su6'!F5</f>
      </c>
      <c r="D29">
        <f>IF(ISERROR(C29),LEFT(B29&amp;"",1)="#",IF(ISNUMBER(C29),AND(ISNUMBER(B29),ABS(C29-B29)&lt;=0.000001*MAX(1,ABS(B29))),EXACT(C29&amp;"",B29&amp;"")))</f>
      </c>
      <c r="E29">
        <f>ISERROR(C29)</f>
      </c>
    </row>
    <row r="30">
      <c r="A30" t="str">
        <v>F6</v>
      </c>
      <c r="B30">
        <v>19</v>
      </c>
      <c r="C30">
        <f>'su6'!F6</f>
      </c>
      <c r="D30">
        <f>IF(ISERROR(C30),LEFT(B30&amp;"",1)="#",IF(ISNUMBER(C30),AND(ISNUMBER(B30),ABS(C30-B30)&lt;=0.000001*MAX(1,ABS(B30))),EXACT(C30&amp;"",B30&amp;"")))</f>
      </c>
      <c r="E30">
        <f>ISERROR(C30)</f>
      </c>
    </row>
    <row r="31">
      <c r="A31" t="str">
        <v>F7</v>
      </c>
      <c r="B31">
        <v>8</v>
      </c>
      <c r="C31">
        <f>'su6'!F7</f>
      </c>
      <c r="D31">
        <f>IF(ISERROR(C31),LEFT(B31&amp;"",1)="#",IF(ISNUMBER(C31),AND(ISNUMBER(B31),ABS(C31-B31)&lt;=0.000001*MAX(1,ABS(B31))),EXACT(C31&amp;"",B31&amp;"")))</f>
      </c>
      <c r="E31">
        <f>ISERROR(C31)</f>
      </c>
    </row>
    <row r="32">
      <c r="A32" t="str">
        <v>F8</v>
      </c>
      <c r="B32">
        <v>22</v>
      </c>
      <c r="C32">
        <f>'su6'!F8</f>
      </c>
      <c r="D32">
        <f>IF(ISERROR(C32),LEFT(B32&amp;"",1)="#",IF(ISNUMBER(C32),AND(ISNUMBER(B32),ABS(C32-B32)&lt;=0.000001*MAX(1,ABS(B32))),EXACT(C32&amp;"",B32&amp;"")))</f>
      </c>
      <c r="E32">
        <f>ISERROR(C32)</f>
      </c>
    </row>
    <row r="33">
      <c r="A33" t="str">
        <v>F9</v>
      </c>
      <c r="B33">
        <v>22</v>
      </c>
      <c r="C33">
        <f>'su6'!F9</f>
      </c>
      <c r="D33">
        <f>IF(ISERROR(C33),LEFT(B33&amp;"",1)="#",IF(ISNUMBER(C33),AND(ISNUMBER(B33),ABS(C33-B33)&lt;=0.000001*MAX(1,ABS(B33))),EXACT(C33&amp;"",B33&amp;"")))</f>
      </c>
      <c r="E33">
        <f>ISERROR(C33)</f>
      </c>
    </row>
    <row r="34">
      <c r="A34" t="str">
        <v>F10</v>
      </c>
      <c r="B34">
        <v>21</v>
      </c>
      <c r="C34">
        <f>'su6'!F10</f>
      </c>
      <c r="D34">
        <f>IF(ISERROR(C34),LEFT(B34&amp;"",1)="#",IF(ISNUMBER(C34),AND(ISNUMBER(B34),ABS(C34-B34)&lt;=0.000001*MAX(1,ABS(B34))),EXACT(C34&amp;"",B34&amp;"")))</f>
      </c>
      <c r="E34">
        <f>ISERROR(C34)</f>
      </c>
    </row>
    <row r="35">
      <c r="A35" t="str">
        <v>F11</v>
      </c>
      <c r="B35">
        <v>6</v>
      </c>
      <c r="C35">
        <f>'su6'!F11</f>
      </c>
      <c r="D35">
        <f>IF(ISERROR(C35),LEFT(B35&amp;"",1)="#",IF(ISNUMBER(C35),AND(ISNUMBER(B35),ABS(C35-B35)&lt;=0.000001*MAX(1,ABS(B35))),EXACT(C35&amp;"",B35&amp;"")))</f>
      </c>
      <c r="E35">
        <f>ISERROR(C35)</f>
      </c>
    </row>
    <row r="36">
      <c r="A36" t="str">
        <v>F12</v>
      </c>
      <c r="B36">
        <v>24</v>
      </c>
      <c r="C36">
        <f>'su6'!F12</f>
      </c>
      <c r="D36">
        <f>IF(ISERROR(C36),LEFT(B36&amp;"",1)="#",IF(ISNUMBER(C36),AND(ISNUMBER(B36),ABS(C36-B36)&lt;=0.000001*MAX(1,ABS(B36))),EXACT(C36&amp;"",B36&amp;"")))</f>
      </c>
      <c r="E36">
        <f>ISERROR(C36)</f>
      </c>
    </row>
    <row r="37">
      <c r="A37" t="str">
        <v>F13</v>
      </c>
      <c r="B37">
        <v>13</v>
      </c>
      <c r="C37">
        <f>'su6'!F13</f>
      </c>
      <c r="D37">
        <f>IF(ISERROR(C37),LEFT(B37&amp;"",1)="#",IF(ISNUMBER(C37),AND(ISNUMBER(B37),ABS(C37-B37)&lt;=0.000001*MAX(1,ABS(B37))),EXACT(C37&amp;"",B37&amp;"")))</f>
      </c>
      <c r="E37">
        <f>ISERROR(C37)</f>
      </c>
    </row>
    <row r="38">
      <c r="A38" t="str">
        <v>G2</v>
      </c>
      <c r="B38">
        <v>69</v>
      </c>
      <c r="C38">
        <f>'su6'!G2</f>
      </c>
      <c r="D38">
        <f>IF(ISERROR(C38),LEFT(B38&amp;"",1)="#",IF(ISNUMBER(C38),AND(ISNUMBER(B38),ABS(C38-B38)&lt;=0.000001*MAX(1,ABS(B38))),EXACT(C38&amp;"",B38&amp;"")))</f>
      </c>
      <c r="E38">
        <f>ISERROR(C38)</f>
      </c>
    </row>
    <row r="39">
      <c r="A39" t="str">
        <v>G3</v>
      </c>
      <c r="B39">
        <v>532</v>
      </c>
      <c r="C39">
        <f>'su6'!G3</f>
      </c>
      <c r="D39">
        <f>IF(ISERROR(C39),LEFT(B39&amp;"",1)="#",IF(ISNUMBER(C39),AND(ISNUMBER(B39),ABS(C39-B39)&lt;=0.000001*MAX(1,ABS(B39))),EXACT(C39&amp;"",B39&amp;"")))</f>
      </c>
      <c r="E39">
        <f>ISERROR(C39)</f>
      </c>
    </row>
    <row r="40">
      <c r="A40" t="str">
        <v>G4</v>
      </c>
      <c r="B40">
        <v>1087</v>
      </c>
      <c r="C40">
        <f>'su6'!G4</f>
      </c>
      <c r="D40">
        <f>IF(ISERROR(C40),LEFT(B40&amp;"",1)="#",IF(ISNUMBER(C40),AND(ISNUMBER(B40),ABS(C40-B40)&lt;=0.000001*MAX(1,ABS(B40))),EXACT(C40&amp;"",B40&amp;"")))</f>
      </c>
      <c r="E40">
        <f>ISERROR(C40)</f>
      </c>
    </row>
    <row r="41">
      <c r="A41" t="str">
        <v>G5</v>
      </c>
      <c r="B41">
        <v>1095</v>
      </c>
      <c r="C41">
        <f>'su6'!G5</f>
      </c>
      <c r="D41">
        <f>IF(ISERROR(C41),LEFT(B41&amp;"",1)="#",IF(ISNUMBER(C41),AND(ISNUMBER(B41),ABS(C41-B41)&lt;=0.000001*MAX(1,ABS(B41))),EXACT(C41&amp;"",B41&amp;"")))</f>
      </c>
      <c r="E41">
        <f>ISERROR(C41)</f>
      </c>
    </row>
    <row r="42">
      <c r="A42" t="str">
        <v>G6</v>
      </c>
      <c r="B42">
        <v>771</v>
      </c>
      <c r="C42">
        <f>'su6'!G6</f>
      </c>
      <c r="D42">
        <f>IF(ISERROR(C42),LEFT(B42&amp;"",1)="#",IF(ISNUMBER(C42),AND(ISNUMBER(B42),ABS(C42-B42)&lt;=0.000001*MAX(1,ABS(B42))),EXACT(C42&amp;"",B42&amp;"")))</f>
      </c>
      <c r="E42">
        <f>ISERROR(C42)</f>
      </c>
    </row>
    <row r="43">
      <c r="A43" t="str">
        <v>G7</v>
      </c>
      <c r="B43">
        <v>415</v>
      </c>
      <c r="C43">
        <f>'su6'!G7</f>
      </c>
      <c r="D43">
        <f>IF(ISERROR(C43),LEFT(B43&amp;"",1)="#",IF(ISNUMBER(C43),AND(ISNUMBER(B43),ABS(C43-B43)&lt;=0.000001*MAX(1,ABS(B43))),EXACT(C43&amp;"",B43&amp;"")))</f>
      </c>
      <c r="E43">
        <f>ISERROR(C43)</f>
      </c>
    </row>
    <row r="44">
      <c r="A44" t="str">
        <v>G8</v>
      </c>
      <c r="B44">
        <v>716</v>
      </c>
      <c r="C44">
        <f>'su6'!G8</f>
      </c>
      <c r="D44">
        <f>IF(ISERROR(C44),LEFT(B44&amp;"",1)="#",IF(ISNUMBER(C44),AND(ISNUMBER(B44),ABS(C44-B44)&lt;=0.000001*MAX(1,ABS(B44))),EXACT(C44&amp;"",B44&amp;"")))</f>
      </c>
      <c r="E44">
        <f>ISERROR(C44)</f>
      </c>
    </row>
    <row r="45">
      <c r="A45" t="str">
        <v>G9</v>
      </c>
      <c r="B45">
        <v>267</v>
      </c>
      <c r="C45">
        <f>'su6'!G9</f>
      </c>
      <c r="D45">
        <f>IF(ISERROR(C45),LEFT(B45&amp;"",1)="#",IF(ISNUMBER(C45),AND(ISNUMBER(B45),ABS(C45-B45)&lt;=0.000001*MAX(1,ABS(B45))),EXACT(C45&amp;"",B45&amp;"")))</f>
      </c>
      <c r="E45">
        <f>ISERROR(C45)</f>
      </c>
    </row>
    <row r="46">
      <c r="A46" t="str">
        <v>G10</v>
      </c>
      <c r="B46">
        <v>864</v>
      </c>
      <c r="C46">
        <f>'su6'!G10</f>
      </c>
      <c r="D46">
        <f>IF(ISERROR(C46),LEFT(B46&amp;"",1)="#",IF(ISNUMBER(C46),AND(ISNUMBER(B46),ABS(C46-B46)&lt;=0.000001*MAX(1,ABS(B46))),EXACT(C46&amp;"",B46&amp;"")))</f>
      </c>
      <c r="E46">
        <f>ISERROR(C46)</f>
      </c>
    </row>
    <row r="47">
      <c r="A47" t="str">
        <v>G11</v>
      </c>
      <c r="B47">
        <v>169</v>
      </c>
      <c r="C47">
        <f>'su6'!G11</f>
      </c>
      <c r="D47">
        <f>IF(ISERROR(C47),LEFT(B47&amp;"",1)="#",IF(ISNUMBER(C47),AND(ISNUMBER(B47),ABS(C47-B47)&lt;=0.000001*MAX(1,ABS(B47))),EXACT(C47&amp;"",B47&amp;"")))</f>
      </c>
      <c r="E47">
        <f>ISERROR(C47)</f>
      </c>
    </row>
    <row r="48">
      <c r="A48" t="str">
        <v>G12</v>
      </c>
      <c r="B48">
        <v>82</v>
      </c>
      <c r="C48">
        <f>'su6'!G12</f>
      </c>
      <c r="D48">
        <f>IF(ISERROR(C48),LEFT(B48&amp;"",1)="#",IF(ISNUMBER(C48),AND(ISNUMBER(B48),ABS(C48-B48)&lt;=0.000001*MAX(1,ABS(B48))),EXACT(C48&amp;"",B48&amp;"")))</f>
      </c>
      <c r="E48">
        <f>ISERROR(C48)</f>
      </c>
    </row>
    <row r="49">
      <c r="A49" t="str">
        <v>G13</v>
      </c>
      <c r="B49">
        <v>876</v>
      </c>
      <c r="C49">
        <f>'su6'!G13</f>
      </c>
      <c r="D49">
        <f>IF(ISERROR(C49),LEFT(B49&amp;"",1)="#",IF(ISNUMBER(C49),AND(ISNUMBER(B49),ABS(C49-B49)&lt;=0.000001*MAX(1,ABS(B49))),EXACT(C49&amp;"",B49&amp;"")))</f>
      </c>
      <c r="E49">
        <f>ISERROR(C49)</f>
      </c>
    </row>
    <row r="50">
      <c r="A50" t="str">
        <v>H2</v>
      </c>
      <c r="B50" t="str">
        <v>CAN HIEN DAI</v>
      </c>
      <c r="C50">
        <f>'su6'!H2</f>
      </c>
      <c r="D50">
        <f>IF(ISERROR(C50),LEFT(B50&amp;"",1)="#",IF(ISNUMBER(C50),AND(ISNUMBER(B50),ABS(C50-B50)&lt;=0.000001*MAX(1,ABS(B50))),EXACT(C50&amp;"",B50&amp;"")))</f>
      </c>
      <c r="E50">
        <f>ISERROR(C50)</f>
      </c>
    </row>
    <row r="51">
      <c r="A51" t="str">
        <v>H3</v>
      </c>
      <c r="B51" t="str">
        <v>TRUNG DAI</v>
      </c>
      <c r="C51">
        <f>'su6'!H3</f>
      </c>
      <c r="D51">
        <f>IF(ISERROR(C51),LEFT(B51&amp;"",1)="#",IF(ISNUMBER(C51),AND(ISNUMBER(B51),ABS(C51-B51)&lt;=0.000001*MAX(1,ABS(B51))),EXACT(C51&amp;"",B51&amp;"")))</f>
      </c>
      <c r="E51">
        <f>ISERROR(C51)</f>
      </c>
    </row>
    <row r="52">
      <c r="A52" t="str">
        <v>H4</v>
      </c>
      <c r="B52" t="str">
        <v>TRUOC 1000</v>
      </c>
      <c r="C52">
        <f>'su6'!H4</f>
      </c>
      <c r="D52">
        <f>IF(ISERROR(C52),LEFT(B52&amp;"",1)="#",IF(ISNUMBER(C52),AND(ISNUMBER(B52),ABS(C52-B52)&lt;=0.000001*MAX(1,ABS(B52))),EXACT(C52&amp;"",B52&amp;"")))</f>
      </c>
      <c r="E52">
        <f>ISERROR(C52)</f>
      </c>
    </row>
    <row r="53">
      <c r="A53" t="str">
        <v>H5</v>
      </c>
      <c r="B53" t="str">
        <v>TRUOC 1000</v>
      </c>
      <c r="C53">
        <f>'su6'!H5</f>
      </c>
      <c r="D53">
        <f>IF(ISERROR(C53),LEFT(B53&amp;"",1)="#",IF(ISNUMBER(C53),AND(ISNUMBER(B53),ABS(C53-B53)&lt;=0.000001*MAX(1,ABS(B53))),EXACT(C53&amp;"",B53&amp;"")))</f>
      </c>
      <c r="E53">
        <f>ISERROR(C53)</f>
      </c>
    </row>
    <row r="54">
      <c r="A54" t="str">
        <v>H6</v>
      </c>
      <c r="B54" t="str">
        <v>TRUNG DAI</v>
      </c>
      <c r="C54">
        <f>'su6'!H6</f>
      </c>
      <c r="D54">
        <f>IF(ISERROR(C54),LEFT(B54&amp;"",1)="#",IF(ISNUMBER(C54),AND(ISNUMBER(B54),ABS(C54-B54)&lt;=0.000001*MAX(1,ABS(B54))),EXACT(C54&amp;"",B54&amp;"")))</f>
      </c>
      <c r="E54">
        <f>ISERROR(C54)</f>
      </c>
    </row>
    <row r="55">
      <c r="A55" t="str">
        <v>H7</v>
      </c>
      <c r="B55" t="str">
        <v>TRUNG DAI</v>
      </c>
      <c r="C55">
        <f>'su6'!H7</f>
      </c>
      <c r="D55">
        <f>IF(ISERROR(C55),LEFT(B55&amp;"",1)="#",IF(ISNUMBER(C55),AND(ISNUMBER(B55),ABS(C55-B55)&lt;=0.000001*MAX(1,ABS(B55))),EXACT(C55&amp;"",B55&amp;"")))</f>
      </c>
      <c r="E55">
        <f>ISERROR(C55)</f>
      </c>
    </row>
    <row r="56">
      <c r="A56" t="str">
        <v>H8</v>
      </c>
      <c r="B56" t="str">
        <v>TRUNG DAI</v>
      </c>
      <c r="C56">
        <f>'su6'!H8</f>
      </c>
      <c r="D56">
        <f>IF(ISERROR(C56),LEFT(B56&amp;"",1)="#",IF(ISNUMBER(C56),AND(ISNUMBER(B56),ABS(C56-B56)&lt;=0.000001*MAX(1,ABS(B56))),EXACT(C56&amp;"",B56&amp;"")))</f>
      </c>
      <c r="E56">
        <f>ISERROR(C56)</f>
      </c>
    </row>
    <row r="57">
      <c r="A57" t="str">
        <v>H9</v>
      </c>
      <c r="B57" t="str">
        <v>TRUNG DAI</v>
      </c>
      <c r="C57">
        <f>'su6'!H9</f>
      </c>
      <c r="D57">
        <f>IF(ISERROR(C57),LEFT(B57&amp;"",1)="#",IF(ISNUMBER(C57),AND(ISNUMBER(B57),ABS(C57-B57)&lt;=0.000001*MAX(1,ABS(B57))),EXACT(C57&amp;"",B57&amp;"")))</f>
      </c>
      <c r="E57">
        <f>ISERROR(C57)</f>
      </c>
    </row>
    <row r="58">
      <c r="A58" t="str">
        <v>H10</v>
      </c>
      <c r="B58" t="str">
        <v>TRUNG DAI</v>
      </c>
      <c r="C58">
        <f>'su6'!H10</f>
      </c>
      <c r="D58">
        <f>IF(ISERROR(C58),LEFT(B58&amp;"",1)="#",IF(ISNUMBER(C58),AND(ISNUMBER(B58),ABS(C58-B58)&lt;=0.000001*MAX(1,ABS(B58))),EXACT(C58&amp;"",B58&amp;"")))</f>
      </c>
      <c r="E58">
        <f>ISERROR(C58)</f>
      </c>
    </row>
    <row r="59">
      <c r="A59" t="str">
        <v>H11</v>
      </c>
      <c r="B59" t="str">
        <v>CAN HIEN DAI</v>
      </c>
      <c r="C59">
        <f>'su6'!H11</f>
      </c>
      <c r="D59">
        <f>IF(ISERROR(C59),LEFT(B59&amp;"",1)="#",IF(ISNUMBER(C59),AND(ISNUMBER(B59),ABS(C59-B59)&lt;=0.000001*MAX(1,ABS(B59))),EXACT(C59&amp;"",B59&amp;"")))</f>
      </c>
      <c r="E59">
        <f>ISERROR(C59)</f>
      </c>
    </row>
    <row r="60">
      <c r="A60" t="str">
        <v>H12</v>
      </c>
      <c r="B60" t="str">
        <v>CAN HIEN DAI</v>
      </c>
      <c r="C60">
        <f>'su6'!H12</f>
      </c>
      <c r="D60">
        <f>IF(ISERROR(C60),LEFT(B60&amp;"",1)="#",IF(ISNUMBER(C60),AND(ISNUMBER(B60),ABS(C60-B60)&lt;=0.000001*MAX(1,ABS(B60))),EXACT(C60&amp;"",B60&amp;"")))</f>
      </c>
      <c r="E60">
        <f>ISERROR(C60)</f>
      </c>
    </row>
    <row r="61">
      <c r="A61" t="str">
        <v>H13</v>
      </c>
      <c r="B61" t="str">
        <v>TRUNG DAI</v>
      </c>
      <c r="C61">
        <f>'su6'!H13</f>
      </c>
      <c r="D61">
        <f>IF(ISERROR(C61),LEFT(B61&amp;"",1)="#",IF(ISNUMBER(C61),AND(ISNUMBER(B61),ABS(C61-B61)&lt;=0.000001*MAX(1,ABS(B61))),EXACT(C61&amp;"",B61&amp;"")))</f>
      </c>
      <c r="E61">
        <f>ISERROR(C61)</f>
      </c>
    </row>
    <row r="62">
      <c r="A62" t="str">
        <v>Z2</v>
      </c>
      <c r="B62" t="str">
        <v>SK11</v>
      </c>
      <c r="C62">
        <f>'su6'!Z2</f>
      </c>
      <c r="D62">
        <f>IF(ISERROR(C62),LEFT(B62&amp;"",1)="#",IF(ISNUMBER(C62),AND(ISNUMBER(B62),ABS(C62-B62)&lt;=0.000001*MAX(1,ABS(B62))),EXACT(C62&amp;"",B62&amp;"")))</f>
      </c>
      <c r="E62">
        <f>ISERROR(C62)</f>
      </c>
    </row>
    <row r="63">
      <c r="A63" t="str">
        <v>Z3</v>
      </c>
      <c r="B63">
        <v>42</v>
      </c>
      <c r="C63">
        <f>'su6'!Z3</f>
      </c>
      <c r="D63">
        <f>IF(ISERROR(C63),LEFT(B63&amp;"",1)="#",IF(ISNUMBER(C63),AND(ISNUMBER(B63),ABS(C63-B63)&lt;=0.000001*MAX(1,ABS(B63))),EXACT(C63&amp;"",B63&amp;"")))</f>
      </c>
      <c r="E63">
        <f>ISERROR(C63)</f>
      </c>
    </row>
    <row r="64">
      <c r="A64" t="str">
        <v>Z4</v>
      </c>
      <c r="B64">
        <v>5</v>
      </c>
      <c r="C64">
        <f>'su6'!Z4</f>
      </c>
      <c r="D64">
        <f>IF(ISERROR(C64),LEFT(B64&amp;"",1)="#",IF(ISNUMBER(C64),AND(ISNUMBER(B64),ABS(C64-B64)&lt;=0.000001*MAX(1,ABS(B64))),EXACT(C64&amp;"",B64&amp;"")))</f>
      </c>
      <c r="E64">
        <f>ISERROR(C64)</f>
      </c>
    </row>
    <row r="65">
      <c r="A65" t="str">
        <v>Z5</v>
      </c>
      <c r="B65">
        <v>634.4285714285714</v>
      </c>
      <c r="C65">
        <f>'su6'!Z5</f>
      </c>
      <c r="D65">
        <f>IF(ISERROR(C65),LEFT(B65&amp;"",1)="#",IF(ISNUMBER(C65),AND(ISNUMBER(B65),ABS(C65-B65)&lt;=0.000001*MAX(1,ABS(B65))),EXACT(C65&amp;"",B65&amp;"")))</f>
      </c>
      <c r="E65">
        <f>ISERROR(C65)</f>
      </c>
    </row>
    <row r="66">
      <c r="A66" t="str">
        <v>Z6</v>
      </c>
      <c r="B66">
        <v>24</v>
      </c>
      <c r="C66">
        <f>'su6'!Z6</f>
      </c>
      <c r="D66">
        <f>IF(ISERROR(C66),LEFT(B66&amp;"",1)="#",IF(ISNUMBER(C66),AND(ISNUMBER(B66),ABS(C66-B66)&lt;=0.000001*MAX(1,ABS(B66))),EXACT(C66&amp;"",B66&amp;"")))</f>
      </c>
      <c r="E66">
        <f>ISERROR(C66)</f>
      </c>
    </row>
    <row r="67">
      <c r="A67" t="str">
        <v>Z7</v>
      </c>
      <c r="B67">
        <v>20</v>
      </c>
      <c r="C67">
        <f>'su6'!Z7</f>
      </c>
      <c r="D67">
        <f>IF(ISERROR(C67),LEFT(B67&amp;"",1)="#",IF(ISNUMBER(C67),AND(ISNUMBER(B67),ABS(C67-B67)&lt;=0.000001*MAX(1,ABS(B67))),EXACT(C67&amp;"",B67&amp;"")))</f>
      </c>
      <c r="E67">
        <f>ISERROR(C67)</f>
      </c>
    </row>
    <row r="68">
      <c r="A68" t="str">
        <v>Z8</v>
      </c>
      <c r="B68">
        <v>23</v>
      </c>
      <c r="C68">
        <f>'su6'!Z8</f>
      </c>
      <c r="D68">
        <f>IF(ISERROR(C68),LEFT(B68&amp;"",1)="#",IF(ISNUMBER(C68),AND(ISNUMBER(B68),ABS(C68-B68)&lt;=0.000001*MAX(1,ABS(B68))),EXACT(C68&amp;"",B68&amp;"")))</f>
      </c>
      <c r="E68">
        <f>ISERROR(C68)</f>
      </c>
    </row>
    <row r="69">
      <c r="A69" t="str">
        <v>Z9</v>
      </c>
      <c r="B69">
        <v>7.7</v>
      </c>
      <c r="C69">
        <f>'su6'!Z9</f>
      </c>
      <c r="D69">
        <f>IF(ISERROR(C69),LEFT(B69&amp;"",1)="#",IF(ISNUMBER(C69),AND(ISNUMBER(B69),ABS(C69-B69)&lt;=0.000001*MAX(1,ABS(B69))),EXACT(C69&amp;"",B69&amp;"")))</f>
      </c>
      <c r="E69">
        <f>ISERROR(C69)</f>
      </c>
    </row>
    <row r="70">
      <c r="A70" t="str">
        <v>Z10</v>
      </c>
      <c r="B70">
        <v>42</v>
      </c>
      <c r="C70">
        <f>'su6'!Z10</f>
      </c>
      <c r="D70">
        <f>IF(ISERROR(C70),LEFT(B70&amp;"",1)="#",IF(ISNUMBER(C70),AND(ISNUMBER(B70),ABS(C70-B70)&lt;=0.000001*MAX(1,ABS(B70))),EXACT(C70&amp;"",B70&amp;"")))</f>
      </c>
      <c r="E70">
        <f>ISERROR(C70)</f>
      </c>
    </row>
    <row r="71">
      <c r="A71" t="str">
        <v>Z11</v>
      </c>
      <c r="B71">
        <v>3</v>
      </c>
      <c r="C71">
        <f>'su6'!Z11</f>
      </c>
      <c r="D71">
        <f>IF(ISERROR(C71),LEFT(B71&amp;"",1)="#",IF(ISNUMBER(C71),AND(ISNUMBER(B71),ABS(C71-B71)&lt;=0.000001*MAX(1,ABS(B71))),EXACT(C71&amp;"",B71&amp;"")))</f>
      </c>
      <c r="E71">
        <f>ISERROR(C71)</f>
      </c>
    </row>
    <row r="72">
      <c r="A72" t="str">
        <v>Z12</v>
      </c>
      <c r="B72">
        <v>42</v>
      </c>
      <c r="C72">
        <f>'su6'!Z12</f>
      </c>
      <c r="D72">
        <f>IF(ISERROR(C72),LEFT(B72&amp;"",1)="#",IF(ISNUMBER(C72),AND(ISNUMBER(B72),ABS(C72-B72)&lt;=0.000001*MAX(1,ABS(B72))),EXACT(C72&amp;"",B72&amp;"")))</f>
      </c>
      <c r="E72">
        <f>ISERROR(C72)</f>
      </c>
    </row>
    <row r="73">
      <c r="A73" t="str">
        <v>Z13</v>
      </c>
      <c r="B73">
        <v>267062</v>
      </c>
      <c r="C73">
        <f>'su6'!Z13</f>
      </c>
      <c r="D73">
        <f>IF(ISERROR(C73),LEFT(B73&amp;"",1)="#",IF(ISNUMBER(C73),AND(ISNUMBER(B73),ABS(C73-B73)&lt;=0.000001*MAX(1,ABS(B73))),EXACT(C73&amp;"",B73&amp;"")))</f>
      </c>
      <c r="E73">
        <f>ISERROR(C73)</f>
      </c>
    </row>
  </sheetData>
  <ignoredErrors>
    <ignoredError numberStoredAsText="1" sqref="A1:E73"/>
  </ignoredErrors>
</worksheet>
</file>

<file path=xl/worksheets/sheet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MaCD</v>
      </c>
      <c r="B1" t="str">
        <v>Loai</v>
      </c>
      <c r="C1" t="str">
        <v>QuangDuong</v>
      </c>
      <c r="D1" t="str">
        <v>ThoiGian</v>
      </c>
      <c r="E1" t="str">
        <v>TocDo</v>
      </c>
      <c r="F1" t="str">
        <v>TocDoKmh</v>
      </c>
      <c r="G1" t="str">
        <v>ThoiGianPhut</v>
      </c>
      <c r="H1" t="str">
        <v>PhanLoai</v>
      </c>
      <c r="W1" t="str">
        <v>Loai</v>
      </c>
      <c r="Y1" t="str">
        <v>TongHop</v>
      </c>
      <c r="Z1" t="str">
        <v>KetQua</v>
      </c>
    </row>
    <row r="2">
      <c r="A2" t="str">
        <v>CD01</v>
      </c>
      <c r="B2" t="str">
        <v>BO</v>
      </c>
      <c r="C2">
        <v>591</v>
      </c>
      <c r="D2">
        <v>413</v>
      </c>
      <c r="E2">
        <f>ROUND(C2/D2,2)</f>
        <v>1.43</v>
      </c>
      <c r="F2">
        <f>ROUND(C2/D2*3.6,2)</f>
        <v>5.15</v>
      </c>
      <c r="G2">
        <f>ROUND(D2/60,2)</f>
        <v>6.88</v>
      </c>
      <c r="H2" t="str">
        <f>IF(E2&gt;=10,"NHANH",IF(E2&gt;=3,"VUA","CHAM"))</f>
        <v>CHAM</v>
      </c>
      <c r="W2" t="str">
        <v>XE</v>
      </c>
      <c r="Y2" t="str">
        <v>Ma MaCD co TocDo lon nhat</v>
      </c>
      <c r="Z2" t="str">
        <f>INDEX(A2:A13,MATCH(MAX(E2:E13),E2:E13,0))</f>
        <v>CD08</v>
      </c>
    </row>
    <row r="3">
      <c r="A3" t="str">
        <v>CD02</v>
      </c>
      <c r="B3" t="str">
        <v>XE</v>
      </c>
      <c r="C3">
        <v>2642</v>
      </c>
      <c r="D3">
        <v>298</v>
      </c>
      <c r="E3">
        <f>ROUND(C3/D3,2)</f>
        <v>8.87</v>
      </c>
      <c r="F3">
        <f>ROUND(C3/D3*3.6,2)</f>
        <v>31.92</v>
      </c>
      <c r="G3">
        <f>ROUND(D3/60,2)</f>
        <v>4.97</v>
      </c>
      <c r="H3" t="str">
        <f>IF(E3&gt;=10,"NHANH",IF(E3&gt;=3,"VUA","CHAM"))</f>
        <v>VUA</v>
      </c>
      <c r="Y3" t="str">
        <v>Tong QuangDuong khi Loai = XE</v>
      </c>
      <c r="Z3">
        <f>SUMIF(B2:B13,"XE",C2:C13)</f>
        <v>13234</v>
      </c>
    </row>
    <row r="4">
      <c r="A4" t="str">
        <v>CD03</v>
      </c>
      <c r="B4" t="str">
        <v>TAU</v>
      </c>
      <c r="C4">
        <v>4649</v>
      </c>
      <c r="D4">
        <v>127</v>
      </c>
      <c r="E4">
        <f>ROUND(C4/D4,2)</f>
        <v>36.61</v>
      </c>
      <c r="F4">
        <f>ROUND(C4/D4*3.6,2)</f>
        <v>131.78</v>
      </c>
      <c r="G4">
        <f>ROUND(D4/60,2)</f>
        <v>2.12</v>
      </c>
      <c r="H4" t="str">
        <f>IF(E4&gt;=10,"NHANH",IF(E4&gt;=3,"VUA","CHAM"))</f>
        <v>NHANH</v>
      </c>
      <c r="Y4" t="str">
        <v>So dong Loai = BO, TocDo &gt;=3</v>
      </c>
      <c r="Z4">
        <f>COUNTIFS(B2:B13,"BO",E2:E13,"&gt;=3")</f>
        <v>0</v>
      </c>
    </row>
    <row r="5">
      <c r="A5" t="str">
        <v>CD04</v>
      </c>
      <c r="B5" t="str">
        <v>BO</v>
      </c>
      <c r="C5">
        <v>695</v>
      </c>
      <c r="D5">
        <v>532</v>
      </c>
      <c r="E5">
        <f>ROUND(C5/D5,2)</f>
        <v>1.31</v>
      </c>
      <c r="F5">
        <f>ROUND(C5/D5*3.6,2)</f>
        <v>4.7</v>
      </c>
      <c r="G5">
        <f>ROUND(D5/60,2)</f>
        <v>8.87</v>
      </c>
      <c r="H5" t="str">
        <f>IF(E5&gt;=10,"NHANH",IF(E5&gt;=3,"VUA","CHAM"))</f>
        <v>CHAM</v>
      </c>
      <c r="Y5" t="str">
        <v>TocDo trung binh khi Loai = TAU</v>
      </c>
      <c r="Z5">
        <f>AVERAGEIF(B2:B13,"TAU",E2:E13)</f>
        <v>31.618333333333336</v>
      </c>
    </row>
    <row r="6">
      <c r="A6" t="str">
        <v>CD05</v>
      </c>
      <c r="B6" t="str">
        <v>TAU</v>
      </c>
      <c r="C6">
        <v>7990</v>
      </c>
      <c r="D6">
        <v>390</v>
      </c>
      <c r="E6">
        <f>ROUND(C6/D6,2)</f>
        <v>20.49</v>
      </c>
      <c r="F6">
        <f>ROUND(C6/D6*3.6,2)</f>
        <v>73.75</v>
      </c>
      <c r="G6">
        <f>ROUND(D6/60,2)</f>
        <v>6.5</v>
      </c>
      <c r="H6" t="str">
        <f>IF(E6&gt;=10,"NHANH",IF(E6&gt;=3,"VUA","CHAM"))</f>
        <v>NHANH</v>
      </c>
      <c r="Y6" t="str">
        <v>TocDo lon nhat khi Loai = TAU</v>
      </c>
      <c r="Z6">
        <f>_xlfn.MAXIFS(E2:E13,B2:B13,"TAU")</f>
        <v>37.96</v>
      </c>
    </row>
    <row r="7">
      <c r="A7" t="str">
        <v>CD06</v>
      </c>
      <c r="B7" t="str">
        <v>XE</v>
      </c>
      <c r="C7">
        <v>10592</v>
      </c>
      <c r="D7">
        <v>506</v>
      </c>
      <c r="E7">
        <f>ROUND(C7/D7,2)</f>
        <v>20.93</v>
      </c>
      <c r="F7">
        <f>ROUND(C7/D7*3.6,2)</f>
        <v>75.36</v>
      </c>
      <c r="G7">
        <f>ROUND(D7/60,2)</f>
        <v>8.43</v>
      </c>
      <c r="H7" t="str">
        <f>IF(E7&gt;=10,"NHANH",IF(E7&gt;=3,"VUA","CHAM"))</f>
        <v>NHANH</v>
      </c>
      <c r="Y7" t="str">
        <v>TocDo trung vi</v>
      </c>
      <c r="Z7">
        <f>MEDIAN(E2:E13)</f>
        <v>20.71</v>
      </c>
    </row>
    <row r="8">
      <c r="A8" t="str">
        <v>CD07</v>
      </c>
      <c r="B8" t="str">
        <v>TAU</v>
      </c>
      <c r="C8">
        <v>5016</v>
      </c>
      <c r="D8">
        <v>147</v>
      </c>
      <c r="E8">
        <f>ROUND(C8/D8,2)</f>
        <v>34.12</v>
      </c>
      <c r="F8">
        <f>ROUND(C8/D8*3.6,2)</f>
        <v>122.84</v>
      </c>
      <c r="G8">
        <f>ROUND(D8/60,2)</f>
        <v>2.45</v>
      </c>
      <c r="H8" t="str">
        <f>IF(E8&gt;=10,"NHANH",IF(E8&gt;=3,"VUA","CHAM"))</f>
        <v>NHANH</v>
      </c>
      <c r="Y8" t="str">
        <v>TocDo lon thu hai</v>
      </c>
      <c r="Z8">
        <f>LARGE(E2:E13,2)</f>
        <v>36.61</v>
      </c>
    </row>
    <row r="9">
      <c r="A9" t="str">
        <v>CD08</v>
      </c>
      <c r="B9" t="str">
        <v>TAU</v>
      </c>
      <c r="C9">
        <v>5694</v>
      </c>
      <c r="D9">
        <v>150</v>
      </c>
      <c r="E9">
        <f>ROUND(C9/D9,2)</f>
        <v>37.96</v>
      </c>
      <c r="F9">
        <f>ROUND(C9/D9*3.6,2)</f>
        <v>136.66</v>
      </c>
      <c r="G9">
        <f>ROUND(D9/60,2)</f>
        <v>2.5</v>
      </c>
      <c r="H9" t="str">
        <f>IF(E9&gt;=10,"NHANH",IF(E9&gt;=3,"VUA","CHAM"))</f>
        <v>NHANH</v>
      </c>
      <c r="Y9" t="str">
        <v>Do lech chuan TocDo</v>
      </c>
      <c r="Z9">
        <f>ROUND(STDEV(E2:E13),2)</f>
        <v>15.2</v>
      </c>
    </row>
    <row r="10">
      <c r="A10" t="str">
        <v>CD09</v>
      </c>
      <c r="B10" t="str">
        <v>TAU</v>
      </c>
      <c r="C10">
        <v>3688</v>
      </c>
      <c r="D10">
        <v>145</v>
      </c>
      <c r="E10">
        <f>ROUND(C10/D10,2)</f>
        <v>25.43</v>
      </c>
      <c r="F10">
        <f>ROUND(C10/D10*3.6,2)</f>
        <v>91.56</v>
      </c>
      <c r="G10">
        <f>ROUND(D10/60,2)</f>
        <v>2.42</v>
      </c>
      <c r="H10" t="str">
        <f>IF(E10&gt;=10,"NHANH",IF(E10&gt;=3,"VUA","CHAM"))</f>
        <v>NHANH</v>
      </c>
      <c r="Y10" t="str">
        <v>Tong QuangDuong theo tieu chi W1:W2</v>
      </c>
      <c r="Z10">
        <f>DSUM(A1:H13,"QuangDuong",W1:W2)</f>
        <v>13234</v>
      </c>
    </row>
    <row r="11">
      <c r="A11" t="str">
        <v>CD10</v>
      </c>
      <c r="B11" t="str">
        <v>BO</v>
      </c>
      <c r="C11">
        <v>399</v>
      </c>
      <c r="D11">
        <v>348</v>
      </c>
      <c r="E11">
        <f>ROUND(C11/D11,2)</f>
        <v>1.15</v>
      </c>
      <c r="F11">
        <f>ROUND(C11/D11*3.6,2)</f>
        <v>4.13</v>
      </c>
      <c r="G11">
        <f>ROUND(D11/60,2)</f>
        <v>5.8</v>
      </c>
      <c r="H11" t="str">
        <f>IF(E11&gt;=10,"NHANH",IF(E11&gt;=3,"VUA","CHAM"))</f>
        <v>CHAM</v>
      </c>
      <c r="Y11" t="str">
        <v>So dong theo tieu chi W1:W2</v>
      </c>
      <c r="Z11">
        <f>DCOUNT(A1:H13,"QuangDuong",W1:W2)</f>
        <v>2</v>
      </c>
    </row>
    <row r="12">
      <c r="A12" t="str">
        <v>CD11</v>
      </c>
      <c r="B12" t="str">
        <v>BO</v>
      </c>
      <c r="C12">
        <v>545</v>
      </c>
      <c r="D12">
        <v>291</v>
      </c>
      <c r="E12">
        <f>ROUND(C12/D12,2)</f>
        <v>1.87</v>
      </c>
      <c r="F12">
        <f>ROUND(C12/D12*3.6,2)</f>
        <v>6.74</v>
      </c>
      <c r="G12">
        <f>ROUND(D12/60,2)</f>
        <v>4.85</v>
      </c>
      <c r="H12" t="str">
        <f>IF(E12&gt;=10,"NHANH",IF(E12&gt;=3,"VUA","CHAM"))</f>
        <v>CHAM</v>
      </c>
      <c r="Y12" t="str">
        <v>Tong QuangDuong khi Loai = XE (SUMPRODUCT)</v>
      </c>
      <c r="Z12">
        <f>SUMPRODUCT((B2:B13="XE")*C2:C13)</f>
        <v>13234</v>
      </c>
    </row>
    <row r="13">
      <c r="A13" t="str">
        <v>CD12</v>
      </c>
      <c r="B13" t="str">
        <v>TAU</v>
      </c>
      <c r="C13">
        <v>14814</v>
      </c>
      <c r="D13">
        <v>422</v>
      </c>
      <c r="E13">
        <f>ROUND(C13/D13,2)</f>
        <v>35.1</v>
      </c>
      <c r="F13">
        <f>ROUND(C13/D13*3.6,2)</f>
        <v>126.38</v>
      </c>
      <c r="G13">
        <f>ROUND(D13/60,2)</f>
        <v>7.03</v>
      </c>
      <c r="H13" t="str">
        <f>IF(E13&gt;=10,"NHANH",IF(E13&gt;=3,"VUA","CHAM"))</f>
        <v>NHANH</v>
      </c>
      <c r="Y13" t="str">
        <v>Tong QuangDuong x ThoiGian</v>
      </c>
      <c r="Z13">
        <f>SUMPRODUCT(C2:C13,D2:D13)</f>
        <v>19142381</v>
      </c>
    </row>
  </sheetData>
  <ignoredErrors>
    <ignoredError numberStoredAsText="1" sqref="A1:Z13"/>
  </ignoredErrors>
</worksheet>
</file>

<file path=xl/worksheets/sheet5.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1.43</v>
      </c>
      <c r="C2">
        <f>'khtn7'!E2</f>
      </c>
      <c r="D2">
        <f>IF(ISERROR(C2),LEFT(B2&amp;"",1)="#",IF(ISNUMBER(C2),AND(ISNUMBER(B2),ABS(C2-B2)&lt;=0.000001*MAX(1,ABS(B2))),EXACT(C2&amp;"",B2&amp;"")))</f>
      </c>
      <c r="E2">
        <f>ISERROR(C2)</f>
      </c>
    </row>
    <row r="3">
      <c r="A3" t="str">
        <v>E3</v>
      </c>
      <c r="B3">
        <v>8.87</v>
      </c>
      <c r="C3">
        <f>'khtn7'!E3</f>
      </c>
      <c r="D3">
        <f>IF(ISERROR(C3),LEFT(B3&amp;"",1)="#",IF(ISNUMBER(C3),AND(ISNUMBER(B3),ABS(C3-B3)&lt;=0.000001*MAX(1,ABS(B3))),EXACT(C3&amp;"",B3&amp;"")))</f>
      </c>
      <c r="E3">
        <f>ISERROR(C3)</f>
      </c>
    </row>
    <row r="4">
      <c r="A4" t="str">
        <v>E4</v>
      </c>
      <c r="B4">
        <v>36.61</v>
      </c>
      <c r="C4">
        <f>'khtn7'!E4</f>
      </c>
      <c r="D4">
        <f>IF(ISERROR(C4),LEFT(B4&amp;"",1)="#",IF(ISNUMBER(C4),AND(ISNUMBER(B4),ABS(C4-B4)&lt;=0.000001*MAX(1,ABS(B4))),EXACT(C4&amp;"",B4&amp;"")))</f>
      </c>
      <c r="E4">
        <f>ISERROR(C4)</f>
      </c>
    </row>
    <row r="5">
      <c r="A5" t="str">
        <v>E5</v>
      </c>
      <c r="B5">
        <v>1.31</v>
      </c>
      <c r="C5">
        <f>'khtn7'!E5</f>
      </c>
      <c r="D5">
        <f>IF(ISERROR(C5),LEFT(B5&amp;"",1)="#",IF(ISNUMBER(C5),AND(ISNUMBER(B5),ABS(C5-B5)&lt;=0.000001*MAX(1,ABS(B5))),EXACT(C5&amp;"",B5&amp;"")))</f>
      </c>
      <c r="E5">
        <f>ISERROR(C5)</f>
      </c>
    </row>
    <row r="6">
      <c r="A6" t="str">
        <v>E6</v>
      </c>
      <c r="B6">
        <v>20.49</v>
      </c>
      <c r="C6">
        <f>'khtn7'!E6</f>
      </c>
      <c r="D6">
        <f>IF(ISERROR(C6),LEFT(B6&amp;"",1)="#",IF(ISNUMBER(C6),AND(ISNUMBER(B6),ABS(C6-B6)&lt;=0.000001*MAX(1,ABS(B6))),EXACT(C6&amp;"",B6&amp;"")))</f>
      </c>
      <c r="E6">
        <f>ISERROR(C6)</f>
      </c>
    </row>
    <row r="7">
      <c r="A7" t="str">
        <v>E7</v>
      </c>
      <c r="B7">
        <v>20.93</v>
      </c>
      <c r="C7">
        <f>'khtn7'!E7</f>
      </c>
      <c r="D7">
        <f>IF(ISERROR(C7),LEFT(B7&amp;"",1)="#",IF(ISNUMBER(C7),AND(ISNUMBER(B7),ABS(C7-B7)&lt;=0.000001*MAX(1,ABS(B7))),EXACT(C7&amp;"",B7&amp;"")))</f>
      </c>
      <c r="E7">
        <f>ISERROR(C7)</f>
      </c>
    </row>
    <row r="8">
      <c r="A8" t="str">
        <v>E8</v>
      </c>
      <c r="B8">
        <v>34.12</v>
      </c>
      <c r="C8">
        <f>'khtn7'!E8</f>
      </c>
      <c r="D8">
        <f>IF(ISERROR(C8),LEFT(B8&amp;"",1)="#",IF(ISNUMBER(C8),AND(ISNUMBER(B8),ABS(C8-B8)&lt;=0.000001*MAX(1,ABS(B8))),EXACT(C8&amp;"",B8&amp;"")))</f>
      </c>
      <c r="E8">
        <f>ISERROR(C8)</f>
      </c>
    </row>
    <row r="9">
      <c r="A9" t="str">
        <v>E9</v>
      </c>
      <c r="B9">
        <v>37.96</v>
      </c>
      <c r="C9">
        <f>'khtn7'!E9</f>
      </c>
      <c r="D9">
        <f>IF(ISERROR(C9),LEFT(B9&amp;"",1)="#",IF(ISNUMBER(C9),AND(ISNUMBER(B9),ABS(C9-B9)&lt;=0.000001*MAX(1,ABS(B9))),EXACT(C9&amp;"",B9&amp;"")))</f>
      </c>
      <c r="E9">
        <f>ISERROR(C9)</f>
      </c>
    </row>
    <row r="10">
      <c r="A10" t="str">
        <v>E10</v>
      </c>
      <c r="B10">
        <v>25.43</v>
      </c>
      <c r="C10">
        <f>'khtn7'!E10</f>
      </c>
      <c r="D10">
        <f>IF(ISERROR(C10),LEFT(B10&amp;"",1)="#",IF(ISNUMBER(C10),AND(ISNUMBER(B10),ABS(C10-B10)&lt;=0.000001*MAX(1,ABS(B10))),EXACT(C10&amp;"",B10&amp;"")))</f>
      </c>
      <c r="E10">
        <f>ISERROR(C10)</f>
      </c>
    </row>
    <row r="11">
      <c r="A11" t="str">
        <v>E11</v>
      </c>
      <c r="B11">
        <v>1.15</v>
      </c>
      <c r="C11">
        <f>'khtn7'!E11</f>
      </c>
      <c r="D11">
        <f>IF(ISERROR(C11),LEFT(B11&amp;"",1)="#",IF(ISNUMBER(C11),AND(ISNUMBER(B11),ABS(C11-B11)&lt;=0.000001*MAX(1,ABS(B11))),EXACT(C11&amp;"",B11&amp;"")))</f>
      </c>
      <c r="E11">
        <f>ISERROR(C11)</f>
      </c>
    </row>
    <row r="12">
      <c r="A12" t="str">
        <v>E12</v>
      </c>
      <c r="B12">
        <v>1.87</v>
      </c>
      <c r="C12">
        <f>'khtn7'!E12</f>
      </c>
      <c r="D12">
        <f>IF(ISERROR(C12),LEFT(B12&amp;"",1)="#",IF(ISNUMBER(C12),AND(ISNUMBER(B12),ABS(C12-B12)&lt;=0.000001*MAX(1,ABS(B12))),EXACT(C12&amp;"",B12&amp;"")))</f>
      </c>
      <c r="E12">
        <f>ISERROR(C12)</f>
      </c>
    </row>
    <row r="13">
      <c r="A13" t="str">
        <v>E13</v>
      </c>
      <c r="B13">
        <v>35.1</v>
      </c>
      <c r="C13">
        <f>'khtn7'!E13</f>
      </c>
      <c r="D13">
        <f>IF(ISERROR(C13),LEFT(B13&amp;"",1)="#",IF(ISNUMBER(C13),AND(ISNUMBER(B13),ABS(C13-B13)&lt;=0.000001*MAX(1,ABS(B13))),EXACT(C13&amp;"",B13&amp;"")))</f>
      </c>
      <c r="E13">
        <f>ISERROR(C13)</f>
      </c>
    </row>
    <row r="14">
      <c r="A14" t="str">
        <v>F2</v>
      </c>
      <c r="B14">
        <v>5.15</v>
      </c>
      <c r="C14">
        <f>'khtn7'!F2</f>
      </c>
      <c r="D14">
        <f>IF(ISERROR(C14),LEFT(B14&amp;"",1)="#",IF(ISNUMBER(C14),AND(ISNUMBER(B14),ABS(C14-B14)&lt;=0.000001*MAX(1,ABS(B14))),EXACT(C14&amp;"",B14&amp;"")))</f>
      </c>
      <c r="E14">
        <f>ISERROR(C14)</f>
      </c>
    </row>
    <row r="15">
      <c r="A15" t="str">
        <v>F3</v>
      </c>
      <c r="B15">
        <v>31.92</v>
      </c>
      <c r="C15">
        <f>'khtn7'!F3</f>
      </c>
      <c r="D15">
        <f>IF(ISERROR(C15),LEFT(B15&amp;"",1)="#",IF(ISNUMBER(C15),AND(ISNUMBER(B15),ABS(C15-B15)&lt;=0.000001*MAX(1,ABS(B15))),EXACT(C15&amp;"",B15&amp;"")))</f>
      </c>
      <c r="E15">
        <f>ISERROR(C15)</f>
      </c>
    </row>
    <row r="16">
      <c r="A16" t="str">
        <v>F4</v>
      </c>
      <c r="B16">
        <v>131.78</v>
      </c>
      <c r="C16">
        <f>'khtn7'!F4</f>
      </c>
      <c r="D16">
        <f>IF(ISERROR(C16),LEFT(B16&amp;"",1)="#",IF(ISNUMBER(C16),AND(ISNUMBER(B16),ABS(C16-B16)&lt;=0.000001*MAX(1,ABS(B16))),EXACT(C16&amp;"",B16&amp;"")))</f>
      </c>
      <c r="E16">
        <f>ISERROR(C16)</f>
      </c>
    </row>
    <row r="17">
      <c r="A17" t="str">
        <v>F5</v>
      </c>
      <c r="B17">
        <v>4.7</v>
      </c>
      <c r="C17">
        <f>'khtn7'!F5</f>
      </c>
      <c r="D17">
        <f>IF(ISERROR(C17),LEFT(B17&amp;"",1)="#",IF(ISNUMBER(C17),AND(ISNUMBER(B17),ABS(C17-B17)&lt;=0.000001*MAX(1,ABS(B17))),EXACT(C17&amp;"",B17&amp;"")))</f>
      </c>
      <c r="E17">
        <f>ISERROR(C17)</f>
      </c>
    </row>
    <row r="18">
      <c r="A18" t="str">
        <v>F6</v>
      </c>
      <c r="B18">
        <v>73.75</v>
      </c>
      <c r="C18">
        <f>'khtn7'!F6</f>
      </c>
      <c r="D18">
        <f>IF(ISERROR(C18),LEFT(B18&amp;"",1)="#",IF(ISNUMBER(C18),AND(ISNUMBER(B18),ABS(C18-B18)&lt;=0.000001*MAX(1,ABS(B18))),EXACT(C18&amp;"",B18&amp;"")))</f>
      </c>
      <c r="E18">
        <f>ISERROR(C18)</f>
      </c>
    </row>
    <row r="19">
      <c r="A19" t="str">
        <v>F7</v>
      </c>
      <c r="B19">
        <v>75.36</v>
      </c>
      <c r="C19">
        <f>'khtn7'!F7</f>
      </c>
      <c r="D19">
        <f>IF(ISERROR(C19),LEFT(B19&amp;"",1)="#",IF(ISNUMBER(C19),AND(ISNUMBER(B19),ABS(C19-B19)&lt;=0.000001*MAX(1,ABS(B19))),EXACT(C19&amp;"",B19&amp;"")))</f>
      </c>
      <c r="E19">
        <f>ISERROR(C19)</f>
      </c>
    </row>
    <row r="20">
      <c r="A20" t="str">
        <v>F8</v>
      </c>
      <c r="B20">
        <v>122.84</v>
      </c>
      <c r="C20">
        <f>'khtn7'!F8</f>
      </c>
      <c r="D20">
        <f>IF(ISERROR(C20),LEFT(B20&amp;"",1)="#",IF(ISNUMBER(C20),AND(ISNUMBER(B20),ABS(C20-B20)&lt;=0.000001*MAX(1,ABS(B20))),EXACT(C20&amp;"",B20&amp;"")))</f>
      </c>
      <c r="E20">
        <f>ISERROR(C20)</f>
      </c>
    </row>
    <row r="21">
      <c r="A21" t="str">
        <v>F9</v>
      </c>
      <c r="B21">
        <v>136.66</v>
      </c>
      <c r="C21">
        <f>'khtn7'!F9</f>
      </c>
      <c r="D21">
        <f>IF(ISERROR(C21),LEFT(B21&amp;"",1)="#",IF(ISNUMBER(C21),AND(ISNUMBER(B21),ABS(C21-B21)&lt;=0.000001*MAX(1,ABS(B21))),EXACT(C21&amp;"",B21&amp;"")))</f>
      </c>
      <c r="E21">
        <f>ISERROR(C21)</f>
      </c>
    </row>
    <row r="22">
      <c r="A22" t="str">
        <v>F10</v>
      </c>
      <c r="B22">
        <v>91.56</v>
      </c>
      <c r="C22">
        <f>'khtn7'!F10</f>
      </c>
      <c r="D22">
        <f>IF(ISERROR(C22),LEFT(B22&amp;"",1)="#",IF(ISNUMBER(C22),AND(ISNUMBER(B22),ABS(C22-B22)&lt;=0.000001*MAX(1,ABS(B22))),EXACT(C22&amp;"",B22&amp;"")))</f>
      </c>
      <c r="E22">
        <f>ISERROR(C22)</f>
      </c>
    </row>
    <row r="23">
      <c r="A23" t="str">
        <v>F11</v>
      </c>
      <c r="B23">
        <v>4.13</v>
      </c>
      <c r="C23">
        <f>'khtn7'!F11</f>
      </c>
      <c r="D23">
        <f>IF(ISERROR(C23),LEFT(B23&amp;"",1)="#",IF(ISNUMBER(C23),AND(ISNUMBER(B23),ABS(C23-B23)&lt;=0.000001*MAX(1,ABS(B23))),EXACT(C23&amp;"",B23&amp;"")))</f>
      </c>
      <c r="E23">
        <f>ISERROR(C23)</f>
      </c>
    </row>
    <row r="24">
      <c r="A24" t="str">
        <v>F12</v>
      </c>
      <c r="B24">
        <v>6.74</v>
      </c>
      <c r="C24">
        <f>'khtn7'!F12</f>
      </c>
      <c r="D24">
        <f>IF(ISERROR(C24),LEFT(B24&amp;"",1)="#",IF(ISNUMBER(C24),AND(ISNUMBER(B24),ABS(C24-B24)&lt;=0.000001*MAX(1,ABS(B24))),EXACT(C24&amp;"",B24&amp;"")))</f>
      </c>
      <c r="E24">
        <f>ISERROR(C24)</f>
      </c>
    </row>
    <row r="25">
      <c r="A25" t="str">
        <v>F13</v>
      </c>
      <c r="B25">
        <v>126.38</v>
      </c>
      <c r="C25">
        <f>'khtn7'!F13</f>
      </c>
      <c r="D25">
        <f>IF(ISERROR(C25),LEFT(B25&amp;"",1)="#",IF(ISNUMBER(C25),AND(ISNUMBER(B25),ABS(C25-B25)&lt;=0.000001*MAX(1,ABS(B25))),EXACT(C25&amp;"",B25&amp;"")))</f>
      </c>
      <c r="E25">
        <f>ISERROR(C25)</f>
      </c>
    </row>
    <row r="26">
      <c r="A26" t="str">
        <v>G2</v>
      </c>
      <c r="B26">
        <v>6.88</v>
      </c>
      <c r="C26">
        <f>'khtn7'!G2</f>
      </c>
      <c r="D26">
        <f>IF(ISERROR(C26),LEFT(B26&amp;"",1)="#",IF(ISNUMBER(C26),AND(ISNUMBER(B26),ABS(C26-B26)&lt;=0.000001*MAX(1,ABS(B26))),EXACT(C26&amp;"",B26&amp;"")))</f>
      </c>
      <c r="E26">
        <f>ISERROR(C26)</f>
      </c>
    </row>
    <row r="27">
      <c r="A27" t="str">
        <v>G3</v>
      </c>
      <c r="B27">
        <v>4.97</v>
      </c>
      <c r="C27">
        <f>'khtn7'!G3</f>
      </c>
      <c r="D27">
        <f>IF(ISERROR(C27),LEFT(B27&amp;"",1)="#",IF(ISNUMBER(C27),AND(ISNUMBER(B27),ABS(C27-B27)&lt;=0.000001*MAX(1,ABS(B27))),EXACT(C27&amp;"",B27&amp;"")))</f>
      </c>
      <c r="E27">
        <f>ISERROR(C27)</f>
      </c>
    </row>
    <row r="28">
      <c r="A28" t="str">
        <v>G4</v>
      </c>
      <c r="B28">
        <v>2.12</v>
      </c>
      <c r="C28">
        <f>'khtn7'!G4</f>
      </c>
      <c r="D28">
        <f>IF(ISERROR(C28),LEFT(B28&amp;"",1)="#",IF(ISNUMBER(C28),AND(ISNUMBER(B28),ABS(C28-B28)&lt;=0.000001*MAX(1,ABS(B28))),EXACT(C28&amp;"",B28&amp;"")))</f>
      </c>
      <c r="E28">
        <f>ISERROR(C28)</f>
      </c>
    </row>
    <row r="29">
      <c r="A29" t="str">
        <v>G5</v>
      </c>
      <c r="B29">
        <v>8.87</v>
      </c>
      <c r="C29">
        <f>'khtn7'!G5</f>
      </c>
      <c r="D29">
        <f>IF(ISERROR(C29),LEFT(B29&amp;"",1)="#",IF(ISNUMBER(C29),AND(ISNUMBER(B29),ABS(C29-B29)&lt;=0.000001*MAX(1,ABS(B29))),EXACT(C29&amp;"",B29&amp;"")))</f>
      </c>
      <c r="E29">
        <f>ISERROR(C29)</f>
      </c>
    </row>
    <row r="30">
      <c r="A30" t="str">
        <v>G6</v>
      </c>
      <c r="B30">
        <v>6.5</v>
      </c>
      <c r="C30">
        <f>'khtn7'!G6</f>
      </c>
      <c r="D30">
        <f>IF(ISERROR(C30),LEFT(B30&amp;"",1)="#",IF(ISNUMBER(C30),AND(ISNUMBER(B30),ABS(C30-B30)&lt;=0.000001*MAX(1,ABS(B30))),EXACT(C30&amp;"",B30&amp;"")))</f>
      </c>
      <c r="E30">
        <f>ISERROR(C30)</f>
      </c>
    </row>
    <row r="31">
      <c r="A31" t="str">
        <v>G7</v>
      </c>
      <c r="B31">
        <v>8.43</v>
      </c>
      <c r="C31">
        <f>'khtn7'!G7</f>
      </c>
      <c r="D31">
        <f>IF(ISERROR(C31),LEFT(B31&amp;"",1)="#",IF(ISNUMBER(C31),AND(ISNUMBER(B31),ABS(C31-B31)&lt;=0.000001*MAX(1,ABS(B31))),EXACT(C31&amp;"",B31&amp;"")))</f>
      </c>
      <c r="E31">
        <f>ISERROR(C31)</f>
      </c>
    </row>
    <row r="32">
      <c r="A32" t="str">
        <v>G8</v>
      </c>
      <c r="B32">
        <v>2.45</v>
      </c>
      <c r="C32">
        <f>'khtn7'!G8</f>
      </c>
      <c r="D32">
        <f>IF(ISERROR(C32),LEFT(B32&amp;"",1)="#",IF(ISNUMBER(C32),AND(ISNUMBER(B32),ABS(C32-B32)&lt;=0.000001*MAX(1,ABS(B32))),EXACT(C32&amp;"",B32&amp;"")))</f>
      </c>
      <c r="E32">
        <f>ISERROR(C32)</f>
      </c>
    </row>
    <row r="33">
      <c r="A33" t="str">
        <v>G9</v>
      </c>
      <c r="B33">
        <v>2.5</v>
      </c>
      <c r="C33">
        <f>'khtn7'!G9</f>
      </c>
      <c r="D33">
        <f>IF(ISERROR(C33),LEFT(B33&amp;"",1)="#",IF(ISNUMBER(C33),AND(ISNUMBER(B33),ABS(C33-B33)&lt;=0.000001*MAX(1,ABS(B33))),EXACT(C33&amp;"",B33&amp;"")))</f>
      </c>
      <c r="E33">
        <f>ISERROR(C33)</f>
      </c>
    </row>
    <row r="34">
      <c r="A34" t="str">
        <v>G10</v>
      </c>
      <c r="B34">
        <v>2.42</v>
      </c>
      <c r="C34">
        <f>'khtn7'!G10</f>
      </c>
      <c r="D34">
        <f>IF(ISERROR(C34),LEFT(B34&amp;"",1)="#",IF(ISNUMBER(C34),AND(ISNUMBER(B34),ABS(C34-B34)&lt;=0.000001*MAX(1,ABS(B34))),EXACT(C34&amp;"",B34&amp;"")))</f>
      </c>
      <c r="E34">
        <f>ISERROR(C34)</f>
      </c>
    </row>
    <row r="35">
      <c r="A35" t="str">
        <v>G11</v>
      </c>
      <c r="B35">
        <v>5.8</v>
      </c>
      <c r="C35">
        <f>'khtn7'!G11</f>
      </c>
      <c r="D35">
        <f>IF(ISERROR(C35),LEFT(B35&amp;"",1)="#",IF(ISNUMBER(C35),AND(ISNUMBER(B35),ABS(C35-B35)&lt;=0.000001*MAX(1,ABS(B35))),EXACT(C35&amp;"",B35&amp;"")))</f>
      </c>
      <c r="E35">
        <f>ISERROR(C35)</f>
      </c>
    </row>
    <row r="36">
      <c r="A36" t="str">
        <v>G12</v>
      </c>
      <c r="B36">
        <v>4.85</v>
      </c>
      <c r="C36">
        <f>'khtn7'!G12</f>
      </c>
      <c r="D36">
        <f>IF(ISERROR(C36),LEFT(B36&amp;"",1)="#",IF(ISNUMBER(C36),AND(ISNUMBER(B36),ABS(C36-B36)&lt;=0.000001*MAX(1,ABS(B36))),EXACT(C36&amp;"",B36&amp;"")))</f>
      </c>
      <c r="E36">
        <f>ISERROR(C36)</f>
      </c>
    </row>
    <row r="37">
      <c r="A37" t="str">
        <v>G13</v>
      </c>
      <c r="B37">
        <v>7.03</v>
      </c>
      <c r="C37">
        <f>'khtn7'!G13</f>
      </c>
      <c r="D37">
        <f>IF(ISERROR(C37),LEFT(B37&amp;"",1)="#",IF(ISNUMBER(C37),AND(ISNUMBER(B37),ABS(C37-B37)&lt;=0.000001*MAX(1,ABS(B37))),EXACT(C37&amp;"",B37&amp;"")))</f>
      </c>
      <c r="E37">
        <f>ISERROR(C37)</f>
      </c>
    </row>
    <row r="38">
      <c r="A38" t="str">
        <v>H2</v>
      </c>
      <c r="B38" t="str">
        <v>CHAM</v>
      </c>
      <c r="C38">
        <f>'khtn7'!H2</f>
      </c>
      <c r="D38">
        <f>IF(ISERROR(C38),LEFT(B38&amp;"",1)="#",IF(ISNUMBER(C38),AND(ISNUMBER(B38),ABS(C38-B38)&lt;=0.000001*MAX(1,ABS(B38))),EXACT(C38&amp;"",B38&amp;"")))</f>
      </c>
      <c r="E38">
        <f>ISERROR(C38)</f>
      </c>
    </row>
    <row r="39">
      <c r="A39" t="str">
        <v>H3</v>
      </c>
      <c r="B39" t="str">
        <v>VUA</v>
      </c>
      <c r="C39">
        <f>'khtn7'!H3</f>
      </c>
      <c r="D39">
        <f>IF(ISERROR(C39),LEFT(B39&amp;"",1)="#",IF(ISNUMBER(C39),AND(ISNUMBER(B39),ABS(C39-B39)&lt;=0.000001*MAX(1,ABS(B39))),EXACT(C39&amp;"",B39&amp;"")))</f>
      </c>
      <c r="E39">
        <f>ISERROR(C39)</f>
      </c>
    </row>
    <row r="40">
      <c r="A40" t="str">
        <v>H4</v>
      </c>
      <c r="B40" t="str">
        <v>NHANH</v>
      </c>
      <c r="C40">
        <f>'khtn7'!H4</f>
      </c>
      <c r="D40">
        <f>IF(ISERROR(C40),LEFT(B40&amp;"",1)="#",IF(ISNUMBER(C40),AND(ISNUMBER(B40),ABS(C40-B40)&lt;=0.000001*MAX(1,ABS(B40))),EXACT(C40&amp;"",B40&amp;"")))</f>
      </c>
      <c r="E40">
        <f>ISERROR(C40)</f>
      </c>
    </row>
    <row r="41">
      <c r="A41" t="str">
        <v>H5</v>
      </c>
      <c r="B41" t="str">
        <v>CHAM</v>
      </c>
      <c r="C41">
        <f>'khtn7'!H5</f>
      </c>
      <c r="D41">
        <f>IF(ISERROR(C41),LEFT(B41&amp;"",1)="#",IF(ISNUMBER(C41),AND(ISNUMBER(B41),ABS(C41-B41)&lt;=0.000001*MAX(1,ABS(B41))),EXACT(C41&amp;"",B41&amp;"")))</f>
      </c>
      <c r="E41">
        <f>ISERROR(C41)</f>
      </c>
    </row>
    <row r="42">
      <c r="A42" t="str">
        <v>H6</v>
      </c>
      <c r="B42" t="str">
        <v>NHANH</v>
      </c>
      <c r="C42">
        <f>'khtn7'!H6</f>
      </c>
      <c r="D42">
        <f>IF(ISERROR(C42),LEFT(B42&amp;"",1)="#",IF(ISNUMBER(C42),AND(ISNUMBER(B42),ABS(C42-B42)&lt;=0.000001*MAX(1,ABS(B42))),EXACT(C42&amp;"",B42&amp;"")))</f>
      </c>
      <c r="E42">
        <f>ISERROR(C42)</f>
      </c>
    </row>
    <row r="43">
      <c r="A43" t="str">
        <v>H7</v>
      </c>
      <c r="B43" t="str">
        <v>NHANH</v>
      </c>
      <c r="C43">
        <f>'khtn7'!H7</f>
      </c>
      <c r="D43">
        <f>IF(ISERROR(C43),LEFT(B43&amp;"",1)="#",IF(ISNUMBER(C43),AND(ISNUMBER(B43),ABS(C43-B43)&lt;=0.000001*MAX(1,ABS(B43))),EXACT(C43&amp;"",B43&amp;"")))</f>
      </c>
      <c r="E43">
        <f>ISERROR(C43)</f>
      </c>
    </row>
    <row r="44">
      <c r="A44" t="str">
        <v>H8</v>
      </c>
      <c r="B44" t="str">
        <v>NHANH</v>
      </c>
      <c r="C44">
        <f>'khtn7'!H8</f>
      </c>
      <c r="D44">
        <f>IF(ISERROR(C44),LEFT(B44&amp;"",1)="#",IF(ISNUMBER(C44),AND(ISNUMBER(B44),ABS(C44-B44)&lt;=0.000001*MAX(1,ABS(B44))),EXACT(C44&amp;"",B44&amp;"")))</f>
      </c>
      <c r="E44">
        <f>ISERROR(C44)</f>
      </c>
    </row>
    <row r="45">
      <c r="A45" t="str">
        <v>H9</v>
      </c>
      <c r="B45" t="str">
        <v>NHANH</v>
      </c>
      <c r="C45">
        <f>'khtn7'!H9</f>
      </c>
      <c r="D45">
        <f>IF(ISERROR(C45),LEFT(B45&amp;"",1)="#",IF(ISNUMBER(C45),AND(ISNUMBER(B45),ABS(C45-B45)&lt;=0.000001*MAX(1,ABS(B45))),EXACT(C45&amp;"",B45&amp;"")))</f>
      </c>
      <c r="E45">
        <f>ISERROR(C45)</f>
      </c>
    </row>
    <row r="46">
      <c r="A46" t="str">
        <v>H10</v>
      </c>
      <c r="B46" t="str">
        <v>NHANH</v>
      </c>
      <c r="C46">
        <f>'khtn7'!H10</f>
      </c>
      <c r="D46">
        <f>IF(ISERROR(C46),LEFT(B46&amp;"",1)="#",IF(ISNUMBER(C46),AND(ISNUMBER(B46),ABS(C46-B46)&lt;=0.000001*MAX(1,ABS(B46))),EXACT(C46&amp;"",B46&amp;"")))</f>
      </c>
      <c r="E46">
        <f>ISERROR(C46)</f>
      </c>
    </row>
    <row r="47">
      <c r="A47" t="str">
        <v>H11</v>
      </c>
      <c r="B47" t="str">
        <v>CHAM</v>
      </c>
      <c r="C47">
        <f>'khtn7'!H11</f>
      </c>
      <c r="D47">
        <f>IF(ISERROR(C47),LEFT(B47&amp;"",1)="#",IF(ISNUMBER(C47),AND(ISNUMBER(B47),ABS(C47-B47)&lt;=0.000001*MAX(1,ABS(B47))),EXACT(C47&amp;"",B47&amp;"")))</f>
      </c>
      <c r="E47">
        <f>ISERROR(C47)</f>
      </c>
    </row>
    <row r="48">
      <c r="A48" t="str">
        <v>H12</v>
      </c>
      <c r="B48" t="str">
        <v>CHAM</v>
      </c>
      <c r="C48">
        <f>'khtn7'!H12</f>
      </c>
      <c r="D48">
        <f>IF(ISERROR(C48),LEFT(B48&amp;"",1)="#",IF(ISNUMBER(C48),AND(ISNUMBER(B48),ABS(C48-B48)&lt;=0.000001*MAX(1,ABS(B48))),EXACT(C48&amp;"",B48&amp;"")))</f>
      </c>
      <c r="E48">
        <f>ISERROR(C48)</f>
      </c>
    </row>
    <row r="49">
      <c r="A49" t="str">
        <v>H13</v>
      </c>
      <c r="B49" t="str">
        <v>NHANH</v>
      </c>
      <c r="C49">
        <f>'khtn7'!H13</f>
      </c>
      <c r="D49">
        <f>IF(ISERROR(C49),LEFT(B49&amp;"",1)="#",IF(ISNUMBER(C49),AND(ISNUMBER(B49),ABS(C49-B49)&lt;=0.000001*MAX(1,ABS(B49))),EXACT(C49&amp;"",B49&amp;"")))</f>
      </c>
      <c r="E49">
        <f>ISERROR(C49)</f>
      </c>
    </row>
    <row r="50">
      <c r="A50" t="str">
        <v>Z2</v>
      </c>
      <c r="B50" t="str">
        <v>CD08</v>
      </c>
      <c r="C50">
        <f>'khtn7'!Z2</f>
      </c>
      <c r="D50">
        <f>IF(ISERROR(C50),LEFT(B50&amp;"",1)="#",IF(ISNUMBER(C50),AND(ISNUMBER(B50),ABS(C50-B50)&lt;=0.000001*MAX(1,ABS(B50))),EXACT(C50&amp;"",B50&amp;"")))</f>
      </c>
      <c r="E50">
        <f>ISERROR(C50)</f>
      </c>
    </row>
    <row r="51">
      <c r="A51" t="str">
        <v>Z3</v>
      </c>
      <c r="B51">
        <v>13234</v>
      </c>
      <c r="C51">
        <f>'khtn7'!Z3</f>
      </c>
      <c r="D51">
        <f>IF(ISERROR(C51),LEFT(B51&amp;"",1)="#",IF(ISNUMBER(C51),AND(ISNUMBER(B51),ABS(C51-B51)&lt;=0.000001*MAX(1,ABS(B51))),EXACT(C51&amp;"",B51&amp;"")))</f>
      </c>
      <c r="E51">
        <f>ISERROR(C51)</f>
      </c>
    </row>
    <row r="52">
      <c r="A52" t="str">
        <v>Z4</v>
      </c>
      <c r="B52">
        <v>0</v>
      </c>
      <c r="C52">
        <f>'khtn7'!Z4</f>
      </c>
      <c r="D52">
        <f>IF(ISERROR(C52),LEFT(B52&amp;"",1)="#",IF(ISNUMBER(C52),AND(ISNUMBER(B52),ABS(C52-B52)&lt;=0.000001*MAX(1,ABS(B52))),EXACT(C52&amp;"",B52&amp;"")))</f>
      </c>
      <c r="E52">
        <f>ISERROR(C52)</f>
      </c>
    </row>
    <row r="53">
      <c r="A53" t="str">
        <v>Z5</v>
      </c>
      <c r="B53">
        <v>31.618333333333336</v>
      </c>
      <c r="C53">
        <f>'khtn7'!Z5</f>
      </c>
      <c r="D53">
        <f>IF(ISERROR(C53),LEFT(B53&amp;"",1)="#",IF(ISNUMBER(C53),AND(ISNUMBER(B53),ABS(C53-B53)&lt;=0.000001*MAX(1,ABS(B53))),EXACT(C53&amp;"",B53&amp;"")))</f>
      </c>
      <c r="E53">
        <f>ISERROR(C53)</f>
      </c>
    </row>
    <row r="54">
      <c r="A54" t="str">
        <v>Z6</v>
      </c>
      <c r="B54">
        <v>37.96</v>
      </c>
      <c r="C54">
        <f>'khtn7'!Z6</f>
      </c>
      <c r="D54">
        <f>IF(ISERROR(C54),LEFT(B54&amp;"",1)="#",IF(ISNUMBER(C54),AND(ISNUMBER(B54),ABS(C54-B54)&lt;=0.000001*MAX(1,ABS(B54))),EXACT(C54&amp;"",B54&amp;"")))</f>
      </c>
      <c r="E54">
        <f>ISERROR(C54)</f>
      </c>
    </row>
    <row r="55">
      <c r="A55" t="str">
        <v>Z7</v>
      </c>
      <c r="B55">
        <v>20.71</v>
      </c>
      <c r="C55">
        <f>'khtn7'!Z7</f>
      </c>
      <c r="D55">
        <f>IF(ISERROR(C55),LEFT(B55&amp;"",1)="#",IF(ISNUMBER(C55),AND(ISNUMBER(B55),ABS(C55-B55)&lt;=0.000001*MAX(1,ABS(B55))),EXACT(C55&amp;"",B55&amp;"")))</f>
      </c>
      <c r="E55">
        <f>ISERROR(C55)</f>
      </c>
    </row>
    <row r="56">
      <c r="A56" t="str">
        <v>Z8</v>
      </c>
      <c r="B56">
        <v>36.61</v>
      </c>
      <c r="C56">
        <f>'khtn7'!Z8</f>
      </c>
      <c r="D56">
        <f>IF(ISERROR(C56),LEFT(B56&amp;"",1)="#",IF(ISNUMBER(C56),AND(ISNUMBER(B56),ABS(C56-B56)&lt;=0.000001*MAX(1,ABS(B56))),EXACT(C56&amp;"",B56&amp;"")))</f>
      </c>
      <c r="E56">
        <f>ISERROR(C56)</f>
      </c>
    </row>
    <row r="57">
      <c r="A57" t="str">
        <v>Z9</v>
      </c>
      <c r="B57">
        <v>15.2</v>
      </c>
      <c r="C57">
        <f>'khtn7'!Z9</f>
      </c>
      <c r="D57">
        <f>IF(ISERROR(C57),LEFT(B57&amp;"",1)="#",IF(ISNUMBER(C57),AND(ISNUMBER(B57),ABS(C57-B57)&lt;=0.000001*MAX(1,ABS(B57))),EXACT(C57&amp;"",B57&amp;"")))</f>
      </c>
      <c r="E57">
        <f>ISERROR(C57)</f>
      </c>
    </row>
    <row r="58">
      <c r="A58" t="str">
        <v>Z10</v>
      </c>
      <c r="B58">
        <v>13234</v>
      </c>
      <c r="C58">
        <f>'khtn7'!Z10</f>
      </c>
      <c r="D58">
        <f>IF(ISERROR(C58),LEFT(B58&amp;"",1)="#",IF(ISNUMBER(C58),AND(ISNUMBER(B58),ABS(C58-B58)&lt;=0.000001*MAX(1,ABS(B58))),EXACT(C58&amp;"",B58&amp;"")))</f>
      </c>
      <c r="E58">
        <f>ISERROR(C58)</f>
      </c>
    </row>
    <row r="59">
      <c r="A59" t="str">
        <v>Z11</v>
      </c>
      <c r="B59">
        <v>2</v>
      </c>
      <c r="C59">
        <f>'khtn7'!Z11</f>
      </c>
      <c r="D59">
        <f>IF(ISERROR(C59),LEFT(B59&amp;"",1)="#",IF(ISNUMBER(C59),AND(ISNUMBER(B59),ABS(C59-B59)&lt;=0.000001*MAX(1,ABS(B59))),EXACT(C59&amp;"",B59&amp;"")))</f>
      </c>
      <c r="E59">
        <f>ISERROR(C59)</f>
      </c>
    </row>
    <row r="60">
      <c r="A60" t="str">
        <v>Z12</v>
      </c>
      <c r="B60">
        <v>13234</v>
      </c>
      <c r="C60">
        <f>'khtn7'!Z12</f>
      </c>
      <c r="D60">
        <f>IF(ISERROR(C60),LEFT(B60&amp;"",1)="#",IF(ISNUMBER(C60),AND(ISNUMBER(B60),ABS(C60-B60)&lt;=0.000001*MAX(1,ABS(B60))),EXACT(C60&amp;"",B60&amp;"")))</f>
      </c>
      <c r="E60">
        <f>ISERROR(C60)</f>
      </c>
    </row>
    <row r="61">
      <c r="A61" t="str">
        <v>Z13</v>
      </c>
      <c r="B61">
        <v>19142381</v>
      </c>
      <c r="C61">
        <f>'khtn7'!Z13</f>
      </c>
      <c r="D61">
        <f>IF(ISERROR(C61),LEFT(B61&amp;"",1)="#",IF(ISNUMBER(C61),AND(ISNUMBER(B61),ABS(C61-B61)&lt;=0.000001*MAX(1,ABS(B61))),EXACT(C61&amp;"",B61&amp;"")))</f>
      </c>
      <c r="E61">
        <f>ISERROR(C61)</f>
      </c>
    </row>
  </sheetData>
  <ignoredErrors>
    <ignoredError numberStoredAsText="1" sqref="A1:E61"/>
  </ignoredErrors>
</worksheet>
</file>

<file path=xl/worksheets/sheet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MaBai</v>
      </c>
      <c r="B1" t="str">
        <v>CauMau</v>
      </c>
      <c r="C1" t="str">
        <v>CauChuan</v>
      </c>
      <c r="D1" t="str">
        <v>SoTu</v>
      </c>
      <c r="E1" t="str">
        <v>SoKyTu</v>
      </c>
      <c r="F1" t="str">
        <v>TuDau</v>
      </c>
      <c r="G1" t="str">
        <v>ChuHoa</v>
      </c>
      <c r="H1" t="str">
        <v>Dai</v>
      </c>
      <c r="W1" t="str">
        <v>Dai</v>
      </c>
      <c r="Y1" t="str">
        <v>TongHop</v>
      </c>
      <c r="Z1" t="str">
        <v>KetQua</v>
      </c>
    </row>
    <row r="2">
      <c r="A2" t="str">
        <v>B01</v>
      </c>
      <c r="B2" t="str">
        <v xml:space="preserve">  chúng  ta  cùng  nhau  đọc  sách </v>
      </c>
      <c r="C2" t="str">
        <f>PROPER(TRIM(B2))</f>
        <v>Chúng Ta Cùng Nhau Đọc Sách</v>
      </c>
      <c r="D2">
        <f>LEN(TRIM(B2))-LEN(SUBSTITUTE(TRIM(B2)," ",""))+1</f>
        <v>6</v>
      </c>
      <c r="E2">
        <f>LEN(SUBSTITUTE(TRIM(B2)," ",""))</f>
        <v>22</v>
      </c>
      <c r="F2" t="str">
        <f>LEFT(C2,FIND(" ",C2)-1)</f>
        <v>Chúng</v>
      </c>
      <c r="G2" t="str">
        <f>UPPER(TRIM(B2))</f>
        <v>CHÚNG TA CÙNG NHAU ĐỌC SÁCH</v>
      </c>
      <c r="H2" t="str">
        <f>IF(D2&gt;=5,"DAI","NGAN")</f>
        <v>DAI</v>
      </c>
      <c r="W2" t="str">
        <v>DAI</v>
      </c>
      <c r="Y2" t="str">
        <v>Ma MaBai co SoKyTu lon nhat</v>
      </c>
      <c r="Z2" t="str">
        <f>INDEX(A2:A13,MATCH(MAX(E2:E13),E2:E13,0))</f>
        <v>B03</v>
      </c>
    </row>
    <row r="3">
      <c r="A3" t="str">
        <v>B02</v>
      </c>
      <c r="B3" t="str">
        <v>MÙA XUÂN ĐÃ VỀ TRÊN QUÊ HƯƠNG</v>
      </c>
      <c r="C3" t="str">
        <f>PROPER(TRIM(B3))</f>
        <v>Mùa Xuân Đã Về Trên Quê Hương</v>
      </c>
      <c r="D3">
        <f>LEN(TRIM(B3))-LEN(SUBSTITUTE(TRIM(B3)," ",""))+1</f>
        <v>7</v>
      </c>
      <c r="E3">
        <f>LEN(SUBSTITUTE(TRIM(B3)," ",""))</f>
        <v>23</v>
      </c>
      <c r="F3" t="str">
        <f>LEFT(C3,FIND(" ",C3)-1)</f>
        <v>Mùa</v>
      </c>
      <c r="G3" t="str">
        <f>UPPER(TRIM(B3))</f>
        <v>MÙA XUÂN ĐÃ VỀ TRÊN QUÊ HƯƠNG</v>
      </c>
      <c r="H3" t="str">
        <f>IF(D3&gt;=5,"DAI","NGAN")</f>
        <v>DAI</v>
      </c>
      <c r="Y3" t="str">
        <v>So cau DAI</v>
      </c>
      <c r="Z3">
        <f>COUNTIF(H2:H13,"DAI")</f>
        <v>12</v>
      </c>
    </row>
    <row r="4">
      <c r="A4" t="str">
        <v>B03</v>
      </c>
      <c r="B4" t="str">
        <v>tiếng chim hót vang trong vườn</v>
      </c>
      <c r="C4" t="str">
        <f>PROPER(TRIM(B4))</f>
        <v>Tiếng Chim Hót Vang Trong Vườn</v>
      </c>
      <c r="D4">
        <f>LEN(TRIM(B4))-LEN(SUBSTITUTE(TRIM(B4)," ",""))+1</f>
        <v>6</v>
      </c>
      <c r="E4">
        <f>LEN(SUBSTITUTE(TRIM(B4)," ",""))</f>
        <v>25</v>
      </c>
      <c r="F4" t="str">
        <f>LEFT(C4,FIND(" ",C4)-1)</f>
        <v>Tiếng</v>
      </c>
      <c r="G4" t="str">
        <f>UPPER(TRIM(B4))</f>
        <v>TIẾNG CHIM HÓT VANG TRONG VƯỜN</v>
      </c>
      <c r="H4" t="str">
        <f>IF(D4&gt;=5,"DAI","NGAN")</f>
        <v>DAI</v>
      </c>
      <c r="Y4" t="str">
        <v>Tong so tu</v>
      </c>
      <c r="Z4">
        <f>SUM(D2:D13)</f>
        <v>72</v>
      </c>
    </row>
    <row r="5">
      <c r="A5" t="str">
        <v>B04</v>
      </c>
      <c r="B5" t="str">
        <v>buổi chiều gió thổi mát lành</v>
      </c>
      <c r="C5" t="str">
        <f>PROPER(TRIM(B5))</f>
        <v>Buổi Chiều Gió Thổi Mát Lành</v>
      </c>
      <c r="D5">
        <f>LEN(TRIM(B5))-LEN(SUBSTITUTE(TRIM(B5)," ",""))+1</f>
        <v>6</v>
      </c>
      <c r="E5">
        <f>LEN(SUBSTITUTE(TRIM(B5)," ",""))</f>
        <v>23</v>
      </c>
      <c r="F5" t="str">
        <f>LEFT(C5,FIND(" ",C5)-1)</f>
        <v>Buổi</v>
      </c>
      <c r="G5" t="str">
        <f>UPPER(TRIM(B5))</f>
        <v>BUỔI CHIỀU GIÓ THỔI MÁT LÀNH</v>
      </c>
      <c r="H5" t="str">
        <f>IF(D5&gt;=5,"DAI","NGAN")</f>
        <v>DAI</v>
      </c>
      <c r="Y5" t="str">
        <v>So ky tu trung binh cau DAI</v>
      </c>
      <c r="Z5">
        <f>AVERAGEIF(H2:H13,"DAI",E2:E13)</f>
        <v>22.25</v>
      </c>
    </row>
    <row r="6">
      <c r="A6" t="str">
        <v>B05</v>
      </c>
      <c r="B6" t="str">
        <v>chúng ta cùng nhau đọc sách</v>
      </c>
      <c r="C6" t="str">
        <f>PROPER(TRIM(B6))</f>
        <v>Chúng Ta Cùng Nhau Đọc Sách</v>
      </c>
      <c r="D6">
        <f>LEN(TRIM(B6))-LEN(SUBSTITUTE(TRIM(B6)," ",""))+1</f>
        <v>6</v>
      </c>
      <c r="E6">
        <f>LEN(SUBSTITUTE(TRIM(B6)," ",""))</f>
        <v>22</v>
      </c>
      <c r="F6" t="str">
        <f>LEFT(C6,FIND(" ",C6)-1)</f>
        <v>Chúng</v>
      </c>
      <c r="G6" t="str">
        <f>UPPER(TRIM(B6))</f>
        <v>CHÚNG TA CÙNG NHAU ĐỌC SÁCH</v>
      </c>
      <c r="H6" t="str">
        <f>IF(D6&gt;=5,"DAI","NGAN")</f>
        <v>DAI</v>
      </c>
      <c r="Y6" t="str">
        <v>So ky tu lon nhat cau NGAN</v>
      </c>
      <c r="Z6">
        <f>_xlfn.MAXIFS(E2:E13,H2:H13,"NGAN")</f>
        <v>0</v>
      </c>
    </row>
    <row r="7">
      <c r="A7" t="str">
        <v>B06</v>
      </c>
      <c r="B7" t="str">
        <v xml:space="preserve">  tiếng  chim  hót  vang  trong  vườn </v>
      </c>
      <c r="C7" t="str">
        <f>PROPER(TRIM(B7))</f>
        <v>Tiếng Chim Hót Vang Trong Vườn</v>
      </c>
      <c r="D7">
        <f>LEN(TRIM(B7))-LEN(SUBSTITUTE(TRIM(B7)," ",""))+1</f>
        <v>6</v>
      </c>
      <c r="E7">
        <f>LEN(SUBSTITUTE(TRIM(B7)," ",""))</f>
        <v>25</v>
      </c>
      <c r="F7" t="str">
        <f>LEFT(C7,FIND(" ",C7)-1)</f>
        <v>Tiếng</v>
      </c>
      <c r="G7" t="str">
        <f>UPPER(TRIM(B7))</f>
        <v>TIẾNG CHIM HÓT VANG TRONG VƯỜN</v>
      </c>
      <c r="H7" t="str">
        <f>IF(D7&gt;=5,"DAI","NGAN")</f>
        <v>DAI</v>
      </c>
      <c r="Y7" t="str">
        <v>SoKyTu trung vi</v>
      </c>
      <c r="Z7">
        <f>MEDIAN(E2:E13)</f>
        <v>23</v>
      </c>
    </row>
    <row r="8">
      <c r="A8" t="str">
        <v>B07</v>
      </c>
      <c r="B8" t="str">
        <v>buổi chiều gió thổi mát lành</v>
      </c>
      <c r="C8" t="str">
        <f>PROPER(TRIM(B8))</f>
        <v>Buổi Chiều Gió Thổi Mát Lành</v>
      </c>
      <c r="D8">
        <f>LEN(TRIM(B8))-LEN(SUBSTITUTE(TRIM(B8)," ",""))+1</f>
        <v>6</v>
      </c>
      <c r="E8">
        <f>LEN(SUBSTITUTE(TRIM(B8)," ",""))</f>
        <v>23</v>
      </c>
      <c r="F8" t="str">
        <f>LEFT(C8,FIND(" ",C8)-1)</f>
        <v>Buổi</v>
      </c>
      <c r="G8" t="str">
        <f>UPPER(TRIM(B8))</f>
        <v>BUỔI CHIỀU GIÓ THỔI MÁT LÀNH</v>
      </c>
      <c r="H8" t="str">
        <f>IF(D8&gt;=5,"DAI","NGAN")</f>
        <v>DAI</v>
      </c>
      <c r="Y8" t="str">
        <v>SoKyTu lon thu hai</v>
      </c>
      <c r="Z8">
        <f>LARGE(E2:E13,2)</f>
        <v>25</v>
      </c>
    </row>
    <row r="9">
      <c r="A9" t="str">
        <v>B08</v>
      </c>
      <c r="B9" t="str">
        <v>con đường làng đầy hoa</v>
      </c>
      <c r="C9" t="str">
        <f>PROPER(TRIM(B9))</f>
        <v>Con Đường Làng Đầy Hoa</v>
      </c>
      <c r="D9">
        <f>LEN(TRIM(B9))-LEN(SUBSTITUTE(TRIM(B9)," ",""))+1</f>
        <v>5</v>
      </c>
      <c r="E9">
        <f>LEN(SUBSTITUTE(TRIM(B9)," ",""))</f>
        <v>18</v>
      </c>
      <c r="F9" t="str">
        <f>LEFT(C9,FIND(" ",C9)-1)</f>
        <v>Con</v>
      </c>
      <c r="G9" t="str">
        <f>UPPER(TRIM(B9))</f>
        <v>CON ĐƯỜNG LÀNG ĐẦY HOA</v>
      </c>
      <c r="H9" t="str">
        <f>IF(D9&gt;=5,"DAI","NGAN")</f>
        <v>DAI</v>
      </c>
      <c r="Y9" t="str">
        <v>Tong SoKyTu theo tieu chi W1:W2</v>
      </c>
      <c r="Z9">
        <f>DSUM(A1:H13,"SoKyTu",W1:W2)</f>
        <v>267</v>
      </c>
    </row>
    <row r="10">
      <c r="A10" t="str">
        <v>B09</v>
      </c>
      <c r="B10" t="str">
        <v>mùa xuân đã về trên quê hương</v>
      </c>
      <c r="C10" t="str">
        <f>PROPER(TRIM(B10))</f>
        <v>Mùa Xuân Đã Về Trên Quê Hương</v>
      </c>
      <c r="D10">
        <f>LEN(TRIM(B10))-LEN(SUBSTITUTE(TRIM(B10)," ",""))+1</f>
        <v>7</v>
      </c>
      <c r="E10">
        <f>LEN(SUBSTITUTE(TRIM(B10)," ",""))</f>
        <v>23</v>
      </c>
      <c r="F10" t="str">
        <f>LEFT(C10,FIND(" ",C10)-1)</f>
        <v>Mùa</v>
      </c>
      <c r="G10" t="str">
        <f>UPPER(TRIM(B10))</f>
        <v>MÙA XUÂN ĐÃ VỀ TRÊN QUÊ HƯƠNG</v>
      </c>
      <c r="H10" t="str">
        <f>IF(D10&gt;=5,"DAI","NGAN")</f>
        <v>DAI</v>
      </c>
      <c r="Y10" t="str">
        <v>So dong theo tieu chi W1:W2</v>
      </c>
      <c r="Z10">
        <f>DCOUNT(A1:H13,"SoKyTu",W1:W2)</f>
        <v>12</v>
      </c>
    </row>
    <row r="11">
      <c r="A11" t="str">
        <v>B10</v>
      </c>
      <c r="B11" t="str">
        <v>BUỔI CHIỀU GIÓ THỔI MÁT LÀNH</v>
      </c>
      <c r="C11" t="str">
        <f>PROPER(TRIM(B11))</f>
        <v>Buổi Chiều Gió Thổi Mát Lành</v>
      </c>
      <c r="D11">
        <f>LEN(TRIM(B11))-LEN(SUBSTITUTE(TRIM(B11)," ",""))+1</f>
        <v>6</v>
      </c>
      <c r="E11">
        <f>LEN(SUBSTITUTE(TRIM(B11)," ",""))</f>
        <v>23</v>
      </c>
      <c r="F11" t="str">
        <f>LEFT(C11,FIND(" ",C11)-1)</f>
        <v>Buổi</v>
      </c>
      <c r="G11" t="str">
        <f>UPPER(TRIM(B11))</f>
        <v>BUỔI CHIỀU GIÓ THỔI MÁT LÀNH</v>
      </c>
      <c r="H11" t="str">
        <f>IF(D11&gt;=5,"DAI","NGAN")</f>
        <v>DAI</v>
      </c>
      <c r="Y11" t="str">
        <v>Tong SoTu khi Dai = DAI (SUMPRODUCT)</v>
      </c>
      <c r="Z11">
        <f>SUMPRODUCT((H2:H13="DAI")*D2:D13)</f>
        <v>72</v>
      </c>
    </row>
    <row r="12">
      <c r="A12" t="str">
        <v>B11</v>
      </c>
      <c r="B12" t="str">
        <v>chúng ta cùng nhau đọc sách</v>
      </c>
      <c r="C12" t="str">
        <f>PROPER(TRIM(B12))</f>
        <v>Chúng Ta Cùng Nhau Đọc Sách</v>
      </c>
      <c r="D12">
        <f>LEN(TRIM(B12))-LEN(SUBSTITUTE(TRIM(B12)," ",""))+1</f>
        <v>6</v>
      </c>
      <c r="E12">
        <f>LEN(SUBSTITUTE(TRIM(B12)," ",""))</f>
        <v>22</v>
      </c>
      <c r="F12" t="str">
        <f>LEFT(C12,FIND(" ",C12)-1)</f>
        <v>Chúng</v>
      </c>
      <c r="G12" t="str">
        <f>UPPER(TRIM(B12))</f>
        <v>CHÚNG TA CÙNG NHAU ĐỌC SÁCH</v>
      </c>
      <c r="H12" t="str">
        <f>IF(D12&gt;=5,"DAI","NGAN")</f>
        <v>DAI</v>
      </c>
      <c r="Y12" t="str">
        <v>Tong SoTu x SoKyTu</v>
      </c>
      <c r="Z12">
        <f>SUMPRODUCT(D2:D13,E2:E13)</f>
        <v>1612</v>
      </c>
    </row>
    <row r="13">
      <c r="A13" t="str">
        <v>B12</v>
      </c>
      <c r="B13" t="str">
        <v xml:space="preserve">  con  đường  làng  đầy  hoa </v>
      </c>
      <c r="C13" t="str">
        <f>PROPER(TRIM(B13))</f>
        <v>Con Đường Làng Đầy Hoa</v>
      </c>
      <c r="D13">
        <f>LEN(TRIM(B13))-LEN(SUBSTITUTE(TRIM(B13)," ",""))+1</f>
        <v>5</v>
      </c>
      <c r="E13">
        <f>LEN(SUBSTITUTE(TRIM(B13)," ",""))</f>
        <v>18</v>
      </c>
      <c r="F13" t="str">
        <f>LEFT(C13,FIND(" ",C13)-1)</f>
        <v>Con</v>
      </c>
      <c r="G13" t="str">
        <f>UPPER(TRIM(B13))</f>
        <v>CON ĐƯỜNG LÀNG ĐẦY HOA</v>
      </c>
      <c r="H13" t="str">
        <f>IF(D13&gt;=5,"DAI","NGAN")</f>
        <v>DAI</v>
      </c>
    </row>
  </sheetData>
  <ignoredErrors>
    <ignoredError numberStoredAsText="1" sqref="A1:Z13"/>
  </ignoredErrors>
</worksheet>
</file>

<file path=xl/worksheets/sheet7.xml><?xml version="1.0" encoding="utf-8"?>
<worksheet xmlns="http://schemas.openxmlformats.org/spreadsheetml/2006/main" xmlns:r="http://schemas.openxmlformats.org/officeDocument/2006/relationships">
  <dimension ref="A1:E8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C2</v>
      </c>
      <c r="B2" t="str">
        <v>Chúng Ta Cùng Nhau Đọc Sách</v>
      </c>
      <c r="C2">
        <f>'van8'!C2</f>
      </c>
      <c r="D2">
        <f>IF(ISERROR(C2),LEFT(B2&amp;"",1)="#",IF(ISNUMBER(C2),AND(ISNUMBER(B2),ABS(C2-B2)&lt;=0.000001*MAX(1,ABS(B2))),EXACT(C2&amp;"",B2&amp;"")))</f>
      </c>
      <c r="E2">
        <f>ISERROR(C2)</f>
      </c>
    </row>
    <row r="3">
      <c r="A3" t="str">
        <v>C3</v>
      </c>
      <c r="B3" t="str">
        <v>Mùa Xuân Đã Về Trên Quê Hương</v>
      </c>
      <c r="C3">
        <f>'van8'!C3</f>
      </c>
      <c r="D3">
        <f>IF(ISERROR(C3),LEFT(B3&amp;"",1)="#",IF(ISNUMBER(C3),AND(ISNUMBER(B3),ABS(C3-B3)&lt;=0.000001*MAX(1,ABS(B3))),EXACT(C3&amp;"",B3&amp;"")))</f>
      </c>
      <c r="E3">
        <f>ISERROR(C3)</f>
      </c>
    </row>
    <row r="4">
      <c r="A4" t="str">
        <v>C4</v>
      </c>
      <c r="B4" t="str">
        <v>Tiếng Chim Hót Vang Trong Vườn</v>
      </c>
      <c r="C4">
        <f>'van8'!C4</f>
      </c>
      <c r="D4">
        <f>IF(ISERROR(C4),LEFT(B4&amp;"",1)="#",IF(ISNUMBER(C4),AND(ISNUMBER(B4),ABS(C4-B4)&lt;=0.000001*MAX(1,ABS(B4))),EXACT(C4&amp;"",B4&amp;"")))</f>
      </c>
      <c r="E4">
        <f>ISERROR(C4)</f>
      </c>
    </row>
    <row r="5">
      <c r="A5" t="str">
        <v>C5</v>
      </c>
      <c r="B5" t="str">
        <v>Buổi Chiều Gió Thổi Mát Lành</v>
      </c>
      <c r="C5">
        <f>'van8'!C5</f>
      </c>
      <c r="D5">
        <f>IF(ISERROR(C5),LEFT(B5&amp;"",1)="#",IF(ISNUMBER(C5),AND(ISNUMBER(B5),ABS(C5-B5)&lt;=0.000001*MAX(1,ABS(B5))),EXACT(C5&amp;"",B5&amp;"")))</f>
      </c>
      <c r="E5">
        <f>ISERROR(C5)</f>
      </c>
    </row>
    <row r="6">
      <c r="A6" t="str">
        <v>C6</v>
      </c>
      <c r="B6" t="str">
        <v>Chúng Ta Cùng Nhau Đọc Sách</v>
      </c>
      <c r="C6">
        <f>'van8'!C6</f>
      </c>
      <c r="D6">
        <f>IF(ISERROR(C6),LEFT(B6&amp;"",1)="#",IF(ISNUMBER(C6),AND(ISNUMBER(B6),ABS(C6-B6)&lt;=0.000001*MAX(1,ABS(B6))),EXACT(C6&amp;"",B6&amp;"")))</f>
      </c>
      <c r="E6">
        <f>ISERROR(C6)</f>
      </c>
    </row>
    <row r="7">
      <c r="A7" t="str">
        <v>C7</v>
      </c>
      <c r="B7" t="str">
        <v>Tiếng Chim Hót Vang Trong Vườn</v>
      </c>
      <c r="C7">
        <f>'van8'!C7</f>
      </c>
      <c r="D7">
        <f>IF(ISERROR(C7),LEFT(B7&amp;"",1)="#",IF(ISNUMBER(C7),AND(ISNUMBER(B7),ABS(C7-B7)&lt;=0.000001*MAX(1,ABS(B7))),EXACT(C7&amp;"",B7&amp;"")))</f>
      </c>
      <c r="E7">
        <f>ISERROR(C7)</f>
      </c>
    </row>
    <row r="8">
      <c r="A8" t="str">
        <v>C8</v>
      </c>
      <c r="B8" t="str">
        <v>Buổi Chiều Gió Thổi Mát Lành</v>
      </c>
      <c r="C8">
        <f>'van8'!C8</f>
      </c>
      <c r="D8">
        <f>IF(ISERROR(C8),LEFT(B8&amp;"",1)="#",IF(ISNUMBER(C8),AND(ISNUMBER(B8),ABS(C8-B8)&lt;=0.000001*MAX(1,ABS(B8))),EXACT(C8&amp;"",B8&amp;"")))</f>
      </c>
      <c r="E8">
        <f>ISERROR(C8)</f>
      </c>
    </row>
    <row r="9">
      <c r="A9" t="str">
        <v>C9</v>
      </c>
      <c r="B9" t="str">
        <v>Con Đường Làng Đầy Hoa</v>
      </c>
      <c r="C9">
        <f>'van8'!C9</f>
      </c>
      <c r="D9">
        <f>IF(ISERROR(C9),LEFT(B9&amp;"",1)="#",IF(ISNUMBER(C9),AND(ISNUMBER(B9),ABS(C9-B9)&lt;=0.000001*MAX(1,ABS(B9))),EXACT(C9&amp;"",B9&amp;"")))</f>
      </c>
      <c r="E9">
        <f>ISERROR(C9)</f>
      </c>
    </row>
    <row r="10">
      <c r="A10" t="str">
        <v>C10</v>
      </c>
      <c r="B10" t="str">
        <v>Mùa Xuân Đã Về Trên Quê Hương</v>
      </c>
      <c r="C10">
        <f>'van8'!C10</f>
      </c>
      <c r="D10">
        <f>IF(ISERROR(C10),LEFT(B10&amp;"",1)="#",IF(ISNUMBER(C10),AND(ISNUMBER(B10),ABS(C10-B10)&lt;=0.000001*MAX(1,ABS(B10))),EXACT(C10&amp;"",B10&amp;"")))</f>
      </c>
      <c r="E10">
        <f>ISERROR(C10)</f>
      </c>
    </row>
    <row r="11">
      <c r="A11" t="str">
        <v>C11</v>
      </c>
      <c r="B11" t="str">
        <v>Buổi Chiều Gió Thổi Mát Lành</v>
      </c>
      <c r="C11">
        <f>'van8'!C11</f>
      </c>
      <c r="D11">
        <f>IF(ISERROR(C11),LEFT(B11&amp;"",1)="#",IF(ISNUMBER(C11),AND(ISNUMBER(B11),ABS(C11-B11)&lt;=0.000001*MAX(1,ABS(B11))),EXACT(C11&amp;"",B11&amp;"")))</f>
      </c>
      <c r="E11">
        <f>ISERROR(C11)</f>
      </c>
    </row>
    <row r="12">
      <c r="A12" t="str">
        <v>C12</v>
      </c>
      <c r="B12" t="str">
        <v>Chúng Ta Cùng Nhau Đọc Sách</v>
      </c>
      <c r="C12">
        <f>'van8'!C12</f>
      </c>
      <c r="D12">
        <f>IF(ISERROR(C12),LEFT(B12&amp;"",1)="#",IF(ISNUMBER(C12),AND(ISNUMBER(B12),ABS(C12-B12)&lt;=0.000001*MAX(1,ABS(B12))),EXACT(C12&amp;"",B12&amp;"")))</f>
      </c>
      <c r="E12">
        <f>ISERROR(C12)</f>
      </c>
    </row>
    <row r="13">
      <c r="A13" t="str">
        <v>C13</v>
      </c>
      <c r="B13" t="str">
        <v>Con Đường Làng Đầy Hoa</v>
      </c>
      <c r="C13">
        <f>'van8'!C13</f>
      </c>
      <c r="D13">
        <f>IF(ISERROR(C13),LEFT(B13&amp;"",1)="#",IF(ISNUMBER(C13),AND(ISNUMBER(B13),ABS(C13-B13)&lt;=0.000001*MAX(1,ABS(B13))),EXACT(C13&amp;"",B13&amp;"")))</f>
      </c>
      <c r="E13">
        <f>ISERROR(C13)</f>
      </c>
    </row>
    <row r="14">
      <c r="A14" t="str">
        <v>D2</v>
      </c>
      <c r="B14">
        <v>6</v>
      </c>
      <c r="C14">
        <f>'van8'!D2</f>
      </c>
      <c r="D14">
        <f>IF(ISERROR(C14),LEFT(B14&amp;"",1)="#",IF(ISNUMBER(C14),AND(ISNUMBER(B14),ABS(C14-B14)&lt;=0.000001*MAX(1,ABS(B14))),EXACT(C14&amp;"",B14&amp;"")))</f>
      </c>
      <c r="E14">
        <f>ISERROR(C14)</f>
      </c>
    </row>
    <row r="15">
      <c r="A15" t="str">
        <v>D3</v>
      </c>
      <c r="B15">
        <v>7</v>
      </c>
      <c r="C15">
        <f>'van8'!D3</f>
      </c>
      <c r="D15">
        <f>IF(ISERROR(C15),LEFT(B15&amp;"",1)="#",IF(ISNUMBER(C15),AND(ISNUMBER(B15),ABS(C15-B15)&lt;=0.000001*MAX(1,ABS(B15))),EXACT(C15&amp;"",B15&amp;"")))</f>
      </c>
      <c r="E15">
        <f>ISERROR(C15)</f>
      </c>
    </row>
    <row r="16">
      <c r="A16" t="str">
        <v>D4</v>
      </c>
      <c r="B16">
        <v>6</v>
      </c>
      <c r="C16">
        <f>'van8'!D4</f>
      </c>
      <c r="D16">
        <f>IF(ISERROR(C16),LEFT(B16&amp;"",1)="#",IF(ISNUMBER(C16),AND(ISNUMBER(B16),ABS(C16-B16)&lt;=0.000001*MAX(1,ABS(B16))),EXACT(C16&amp;"",B16&amp;"")))</f>
      </c>
      <c r="E16">
        <f>ISERROR(C16)</f>
      </c>
    </row>
    <row r="17">
      <c r="A17" t="str">
        <v>D5</v>
      </c>
      <c r="B17">
        <v>6</v>
      </c>
      <c r="C17">
        <f>'van8'!D5</f>
      </c>
      <c r="D17">
        <f>IF(ISERROR(C17),LEFT(B17&amp;"",1)="#",IF(ISNUMBER(C17),AND(ISNUMBER(B17),ABS(C17-B17)&lt;=0.000001*MAX(1,ABS(B17))),EXACT(C17&amp;"",B17&amp;"")))</f>
      </c>
      <c r="E17">
        <f>ISERROR(C17)</f>
      </c>
    </row>
    <row r="18">
      <c r="A18" t="str">
        <v>D6</v>
      </c>
      <c r="B18">
        <v>6</v>
      </c>
      <c r="C18">
        <f>'van8'!D6</f>
      </c>
      <c r="D18">
        <f>IF(ISERROR(C18),LEFT(B18&amp;"",1)="#",IF(ISNUMBER(C18),AND(ISNUMBER(B18),ABS(C18-B18)&lt;=0.000001*MAX(1,ABS(B18))),EXACT(C18&amp;"",B18&amp;"")))</f>
      </c>
      <c r="E18">
        <f>ISERROR(C18)</f>
      </c>
    </row>
    <row r="19">
      <c r="A19" t="str">
        <v>D7</v>
      </c>
      <c r="B19">
        <v>6</v>
      </c>
      <c r="C19">
        <f>'van8'!D7</f>
      </c>
      <c r="D19">
        <f>IF(ISERROR(C19),LEFT(B19&amp;"",1)="#",IF(ISNUMBER(C19),AND(ISNUMBER(B19),ABS(C19-B19)&lt;=0.000001*MAX(1,ABS(B19))),EXACT(C19&amp;"",B19&amp;"")))</f>
      </c>
      <c r="E19">
        <f>ISERROR(C19)</f>
      </c>
    </row>
    <row r="20">
      <c r="A20" t="str">
        <v>D8</v>
      </c>
      <c r="B20">
        <v>6</v>
      </c>
      <c r="C20">
        <f>'van8'!D8</f>
      </c>
      <c r="D20">
        <f>IF(ISERROR(C20),LEFT(B20&amp;"",1)="#",IF(ISNUMBER(C20),AND(ISNUMBER(B20),ABS(C20-B20)&lt;=0.000001*MAX(1,ABS(B20))),EXACT(C20&amp;"",B20&amp;"")))</f>
      </c>
      <c r="E20">
        <f>ISERROR(C20)</f>
      </c>
    </row>
    <row r="21">
      <c r="A21" t="str">
        <v>D9</v>
      </c>
      <c r="B21">
        <v>5</v>
      </c>
      <c r="C21">
        <f>'van8'!D9</f>
      </c>
      <c r="D21">
        <f>IF(ISERROR(C21),LEFT(B21&amp;"",1)="#",IF(ISNUMBER(C21),AND(ISNUMBER(B21),ABS(C21-B21)&lt;=0.000001*MAX(1,ABS(B21))),EXACT(C21&amp;"",B21&amp;"")))</f>
      </c>
      <c r="E21">
        <f>ISERROR(C21)</f>
      </c>
    </row>
    <row r="22">
      <c r="A22" t="str">
        <v>D10</v>
      </c>
      <c r="B22">
        <v>7</v>
      </c>
      <c r="C22">
        <f>'van8'!D10</f>
      </c>
      <c r="D22">
        <f>IF(ISERROR(C22),LEFT(B22&amp;"",1)="#",IF(ISNUMBER(C22),AND(ISNUMBER(B22),ABS(C22-B22)&lt;=0.000001*MAX(1,ABS(B22))),EXACT(C22&amp;"",B22&amp;"")))</f>
      </c>
      <c r="E22">
        <f>ISERROR(C22)</f>
      </c>
    </row>
    <row r="23">
      <c r="A23" t="str">
        <v>D11</v>
      </c>
      <c r="B23">
        <v>6</v>
      </c>
      <c r="C23">
        <f>'van8'!D11</f>
      </c>
      <c r="D23">
        <f>IF(ISERROR(C23),LEFT(B23&amp;"",1)="#",IF(ISNUMBER(C23),AND(ISNUMBER(B23),ABS(C23-B23)&lt;=0.000001*MAX(1,ABS(B23))),EXACT(C23&amp;"",B23&amp;"")))</f>
      </c>
      <c r="E23">
        <f>ISERROR(C23)</f>
      </c>
    </row>
    <row r="24">
      <c r="A24" t="str">
        <v>D12</v>
      </c>
      <c r="B24">
        <v>6</v>
      </c>
      <c r="C24">
        <f>'van8'!D12</f>
      </c>
      <c r="D24">
        <f>IF(ISERROR(C24),LEFT(B24&amp;"",1)="#",IF(ISNUMBER(C24),AND(ISNUMBER(B24),ABS(C24-B24)&lt;=0.000001*MAX(1,ABS(B24))),EXACT(C24&amp;"",B24&amp;"")))</f>
      </c>
      <c r="E24">
        <f>ISERROR(C24)</f>
      </c>
    </row>
    <row r="25">
      <c r="A25" t="str">
        <v>D13</v>
      </c>
      <c r="B25">
        <v>5</v>
      </c>
      <c r="C25">
        <f>'van8'!D13</f>
      </c>
      <c r="D25">
        <f>IF(ISERROR(C25),LEFT(B25&amp;"",1)="#",IF(ISNUMBER(C25),AND(ISNUMBER(B25),ABS(C25-B25)&lt;=0.000001*MAX(1,ABS(B25))),EXACT(C25&amp;"",B25&amp;"")))</f>
      </c>
      <c r="E25">
        <f>ISERROR(C25)</f>
      </c>
    </row>
    <row r="26">
      <c r="A26" t="str">
        <v>E2</v>
      </c>
      <c r="B26">
        <v>22</v>
      </c>
      <c r="C26">
        <f>'van8'!E2</f>
      </c>
      <c r="D26">
        <f>IF(ISERROR(C26),LEFT(B26&amp;"",1)="#",IF(ISNUMBER(C26),AND(ISNUMBER(B26),ABS(C26-B26)&lt;=0.000001*MAX(1,ABS(B26))),EXACT(C26&amp;"",B26&amp;"")))</f>
      </c>
      <c r="E26">
        <f>ISERROR(C26)</f>
      </c>
    </row>
    <row r="27">
      <c r="A27" t="str">
        <v>E3</v>
      </c>
      <c r="B27">
        <v>23</v>
      </c>
      <c r="C27">
        <f>'van8'!E3</f>
      </c>
      <c r="D27">
        <f>IF(ISERROR(C27),LEFT(B27&amp;"",1)="#",IF(ISNUMBER(C27),AND(ISNUMBER(B27),ABS(C27-B27)&lt;=0.000001*MAX(1,ABS(B27))),EXACT(C27&amp;"",B27&amp;"")))</f>
      </c>
      <c r="E27">
        <f>ISERROR(C27)</f>
      </c>
    </row>
    <row r="28">
      <c r="A28" t="str">
        <v>E4</v>
      </c>
      <c r="B28">
        <v>25</v>
      </c>
      <c r="C28">
        <f>'van8'!E4</f>
      </c>
      <c r="D28">
        <f>IF(ISERROR(C28),LEFT(B28&amp;"",1)="#",IF(ISNUMBER(C28),AND(ISNUMBER(B28),ABS(C28-B28)&lt;=0.000001*MAX(1,ABS(B28))),EXACT(C28&amp;"",B28&amp;"")))</f>
      </c>
      <c r="E28">
        <f>ISERROR(C28)</f>
      </c>
    </row>
    <row r="29">
      <c r="A29" t="str">
        <v>E5</v>
      </c>
      <c r="B29">
        <v>23</v>
      </c>
      <c r="C29">
        <f>'van8'!E5</f>
      </c>
      <c r="D29">
        <f>IF(ISERROR(C29),LEFT(B29&amp;"",1)="#",IF(ISNUMBER(C29),AND(ISNUMBER(B29),ABS(C29-B29)&lt;=0.000001*MAX(1,ABS(B29))),EXACT(C29&amp;"",B29&amp;"")))</f>
      </c>
      <c r="E29">
        <f>ISERROR(C29)</f>
      </c>
    </row>
    <row r="30">
      <c r="A30" t="str">
        <v>E6</v>
      </c>
      <c r="B30">
        <v>22</v>
      </c>
      <c r="C30">
        <f>'van8'!E6</f>
      </c>
      <c r="D30">
        <f>IF(ISERROR(C30),LEFT(B30&amp;"",1)="#",IF(ISNUMBER(C30),AND(ISNUMBER(B30),ABS(C30-B30)&lt;=0.000001*MAX(1,ABS(B30))),EXACT(C30&amp;"",B30&amp;"")))</f>
      </c>
      <c r="E30">
        <f>ISERROR(C30)</f>
      </c>
    </row>
    <row r="31">
      <c r="A31" t="str">
        <v>E7</v>
      </c>
      <c r="B31">
        <v>25</v>
      </c>
      <c r="C31">
        <f>'van8'!E7</f>
      </c>
      <c r="D31">
        <f>IF(ISERROR(C31),LEFT(B31&amp;"",1)="#",IF(ISNUMBER(C31),AND(ISNUMBER(B31),ABS(C31-B31)&lt;=0.000001*MAX(1,ABS(B31))),EXACT(C31&amp;"",B31&amp;"")))</f>
      </c>
      <c r="E31">
        <f>ISERROR(C31)</f>
      </c>
    </row>
    <row r="32">
      <c r="A32" t="str">
        <v>E8</v>
      </c>
      <c r="B32">
        <v>23</v>
      </c>
      <c r="C32">
        <f>'van8'!E8</f>
      </c>
      <c r="D32">
        <f>IF(ISERROR(C32),LEFT(B32&amp;"",1)="#",IF(ISNUMBER(C32),AND(ISNUMBER(B32),ABS(C32-B32)&lt;=0.000001*MAX(1,ABS(B32))),EXACT(C32&amp;"",B32&amp;"")))</f>
      </c>
      <c r="E32">
        <f>ISERROR(C32)</f>
      </c>
    </row>
    <row r="33">
      <c r="A33" t="str">
        <v>E9</v>
      </c>
      <c r="B33">
        <v>18</v>
      </c>
      <c r="C33">
        <f>'van8'!E9</f>
      </c>
      <c r="D33">
        <f>IF(ISERROR(C33),LEFT(B33&amp;"",1)="#",IF(ISNUMBER(C33),AND(ISNUMBER(B33),ABS(C33-B33)&lt;=0.000001*MAX(1,ABS(B33))),EXACT(C33&amp;"",B33&amp;"")))</f>
      </c>
      <c r="E33">
        <f>ISERROR(C33)</f>
      </c>
    </row>
    <row r="34">
      <c r="A34" t="str">
        <v>E10</v>
      </c>
      <c r="B34">
        <v>23</v>
      </c>
      <c r="C34">
        <f>'van8'!E10</f>
      </c>
      <c r="D34">
        <f>IF(ISERROR(C34),LEFT(B34&amp;"",1)="#",IF(ISNUMBER(C34),AND(ISNUMBER(B34),ABS(C34-B34)&lt;=0.000001*MAX(1,ABS(B34))),EXACT(C34&amp;"",B34&amp;"")))</f>
      </c>
      <c r="E34">
        <f>ISERROR(C34)</f>
      </c>
    </row>
    <row r="35">
      <c r="A35" t="str">
        <v>E11</v>
      </c>
      <c r="B35">
        <v>23</v>
      </c>
      <c r="C35">
        <f>'van8'!E11</f>
      </c>
      <c r="D35">
        <f>IF(ISERROR(C35),LEFT(B35&amp;"",1)="#",IF(ISNUMBER(C35),AND(ISNUMBER(B35),ABS(C35-B35)&lt;=0.000001*MAX(1,ABS(B35))),EXACT(C35&amp;"",B35&amp;"")))</f>
      </c>
      <c r="E35">
        <f>ISERROR(C35)</f>
      </c>
    </row>
    <row r="36">
      <c r="A36" t="str">
        <v>E12</v>
      </c>
      <c r="B36">
        <v>22</v>
      </c>
      <c r="C36">
        <f>'van8'!E12</f>
      </c>
      <c r="D36">
        <f>IF(ISERROR(C36),LEFT(B36&amp;"",1)="#",IF(ISNUMBER(C36),AND(ISNUMBER(B36),ABS(C36-B36)&lt;=0.000001*MAX(1,ABS(B36))),EXACT(C36&amp;"",B36&amp;"")))</f>
      </c>
      <c r="E36">
        <f>ISERROR(C36)</f>
      </c>
    </row>
    <row r="37">
      <c r="A37" t="str">
        <v>E13</v>
      </c>
      <c r="B37">
        <v>18</v>
      </c>
      <c r="C37">
        <f>'van8'!E13</f>
      </c>
      <c r="D37">
        <f>IF(ISERROR(C37),LEFT(B37&amp;"",1)="#",IF(ISNUMBER(C37),AND(ISNUMBER(B37),ABS(C37-B37)&lt;=0.000001*MAX(1,ABS(B37))),EXACT(C37&amp;"",B37&amp;"")))</f>
      </c>
      <c r="E37">
        <f>ISERROR(C37)</f>
      </c>
    </row>
    <row r="38">
      <c r="A38" t="str">
        <v>F2</v>
      </c>
      <c r="B38" t="str">
        <v>Chúng</v>
      </c>
      <c r="C38">
        <f>'van8'!F2</f>
      </c>
      <c r="D38">
        <f>IF(ISERROR(C38),LEFT(B38&amp;"",1)="#",IF(ISNUMBER(C38),AND(ISNUMBER(B38),ABS(C38-B38)&lt;=0.000001*MAX(1,ABS(B38))),EXACT(C38&amp;"",B38&amp;"")))</f>
      </c>
      <c r="E38">
        <f>ISERROR(C38)</f>
      </c>
    </row>
    <row r="39">
      <c r="A39" t="str">
        <v>F3</v>
      </c>
      <c r="B39" t="str">
        <v>Mùa</v>
      </c>
      <c r="C39">
        <f>'van8'!F3</f>
      </c>
      <c r="D39">
        <f>IF(ISERROR(C39),LEFT(B39&amp;"",1)="#",IF(ISNUMBER(C39),AND(ISNUMBER(B39),ABS(C39-B39)&lt;=0.000001*MAX(1,ABS(B39))),EXACT(C39&amp;"",B39&amp;"")))</f>
      </c>
      <c r="E39">
        <f>ISERROR(C39)</f>
      </c>
    </row>
    <row r="40">
      <c r="A40" t="str">
        <v>F4</v>
      </c>
      <c r="B40" t="str">
        <v>Tiếng</v>
      </c>
      <c r="C40">
        <f>'van8'!F4</f>
      </c>
      <c r="D40">
        <f>IF(ISERROR(C40),LEFT(B40&amp;"",1)="#",IF(ISNUMBER(C40),AND(ISNUMBER(B40),ABS(C40-B40)&lt;=0.000001*MAX(1,ABS(B40))),EXACT(C40&amp;"",B40&amp;"")))</f>
      </c>
      <c r="E40">
        <f>ISERROR(C40)</f>
      </c>
    </row>
    <row r="41">
      <c r="A41" t="str">
        <v>F5</v>
      </c>
      <c r="B41" t="str">
        <v>Buổi</v>
      </c>
      <c r="C41">
        <f>'van8'!F5</f>
      </c>
      <c r="D41">
        <f>IF(ISERROR(C41),LEFT(B41&amp;"",1)="#",IF(ISNUMBER(C41),AND(ISNUMBER(B41),ABS(C41-B41)&lt;=0.000001*MAX(1,ABS(B41))),EXACT(C41&amp;"",B41&amp;"")))</f>
      </c>
      <c r="E41">
        <f>ISERROR(C41)</f>
      </c>
    </row>
    <row r="42">
      <c r="A42" t="str">
        <v>F6</v>
      </c>
      <c r="B42" t="str">
        <v>Chúng</v>
      </c>
      <c r="C42">
        <f>'van8'!F6</f>
      </c>
      <c r="D42">
        <f>IF(ISERROR(C42),LEFT(B42&amp;"",1)="#",IF(ISNUMBER(C42),AND(ISNUMBER(B42),ABS(C42-B42)&lt;=0.000001*MAX(1,ABS(B42))),EXACT(C42&amp;"",B42&amp;"")))</f>
      </c>
      <c r="E42">
        <f>ISERROR(C42)</f>
      </c>
    </row>
    <row r="43">
      <c r="A43" t="str">
        <v>F7</v>
      </c>
      <c r="B43" t="str">
        <v>Tiếng</v>
      </c>
      <c r="C43">
        <f>'van8'!F7</f>
      </c>
      <c r="D43">
        <f>IF(ISERROR(C43),LEFT(B43&amp;"",1)="#",IF(ISNUMBER(C43),AND(ISNUMBER(B43),ABS(C43-B43)&lt;=0.000001*MAX(1,ABS(B43))),EXACT(C43&amp;"",B43&amp;"")))</f>
      </c>
      <c r="E43">
        <f>ISERROR(C43)</f>
      </c>
    </row>
    <row r="44">
      <c r="A44" t="str">
        <v>F8</v>
      </c>
      <c r="B44" t="str">
        <v>Buổi</v>
      </c>
      <c r="C44">
        <f>'van8'!F8</f>
      </c>
      <c r="D44">
        <f>IF(ISERROR(C44),LEFT(B44&amp;"",1)="#",IF(ISNUMBER(C44),AND(ISNUMBER(B44),ABS(C44-B44)&lt;=0.000001*MAX(1,ABS(B44))),EXACT(C44&amp;"",B44&amp;"")))</f>
      </c>
      <c r="E44">
        <f>ISERROR(C44)</f>
      </c>
    </row>
    <row r="45">
      <c r="A45" t="str">
        <v>F9</v>
      </c>
      <c r="B45" t="str">
        <v>Con</v>
      </c>
      <c r="C45">
        <f>'van8'!F9</f>
      </c>
      <c r="D45">
        <f>IF(ISERROR(C45),LEFT(B45&amp;"",1)="#",IF(ISNUMBER(C45),AND(ISNUMBER(B45),ABS(C45-B45)&lt;=0.000001*MAX(1,ABS(B45))),EXACT(C45&amp;"",B45&amp;"")))</f>
      </c>
      <c r="E45">
        <f>ISERROR(C45)</f>
      </c>
    </row>
    <row r="46">
      <c r="A46" t="str">
        <v>F10</v>
      </c>
      <c r="B46" t="str">
        <v>Mùa</v>
      </c>
      <c r="C46">
        <f>'van8'!F10</f>
      </c>
      <c r="D46">
        <f>IF(ISERROR(C46),LEFT(B46&amp;"",1)="#",IF(ISNUMBER(C46),AND(ISNUMBER(B46),ABS(C46-B46)&lt;=0.000001*MAX(1,ABS(B46))),EXACT(C46&amp;"",B46&amp;"")))</f>
      </c>
      <c r="E46">
        <f>ISERROR(C46)</f>
      </c>
    </row>
    <row r="47">
      <c r="A47" t="str">
        <v>F11</v>
      </c>
      <c r="B47" t="str">
        <v>Buổi</v>
      </c>
      <c r="C47">
        <f>'van8'!F11</f>
      </c>
      <c r="D47">
        <f>IF(ISERROR(C47),LEFT(B47&amp;"",1)="#",IF(ISNUMBER(C47),AND(ISNUMBER(B47),ABS(C47-B47)&lt;=0.000001*MAX(1,ABS(B47))),EXACT(C47&amp;"",B47&amp;"")))</f>
      </c>
      <c r="E47">
        <f>ISERROR(C47)</f>
      </c>
    </row>
    <row r="48">
      <c r="A48" t="str">
        <v>F12</v>
      </c>
      <c r="B48" t="str">
        <v>Chúng</v>
      </c>
      <c r="C48">
        <f>'van8'!F12</f>
      </c>
      <c r="D48">
        <f>IF(ISERROR(C48),LEFT(B48&amp;"",1)="#",IF(ISNUMBER(C48),AND(ISNUMBER(B48),ABS(C48-B48)&lt;=0.000001*MAX(1,ABS(B48))),EXACT(C48&amp;"",B48&amp;"")))</f>
      </c>
      <c r="E48">
        <f>ISERROR(C48)</f>
      </c>
    </row>
    <row r="49">
      <c r="A49" t="str">
        <v>F13</v>
      </c>
      <c r="B49" t="str">
        <v>Con</v>
      </c>
      <c r="C49">
        <f>'van8'!F13</f>
      </c>
      <c r="D49">
        <f>IF(ISERROR(C49),LEFT(B49&amp;"",1)="#",IF(ISNUMBER(C49),AND(ISNUMBER(B49),ABS(C49-B49)&lt;=0.000001*MAX(1,ABS(B49))),EXACT(C49&amp;"",B49&amp;"")))</f>
      </c>
      <c r="E49">
        <f>ISERROR(C49)</f>
      </c>
    </row>
    <row r="50">
      <c r="A50" t="str">
        <v>G2</v>
      </c>
      <c r="B50" t="str">
        <v>CHÚNG TA CÙNG NHAU ĐỌC SÁCH</v>
      </c>
      <c r="C50">
        <f>'van8'!G2</f>
      </c>
      <c r="D50">
        <f>IF(ISERROR(C50),LEFT(B50&amp;"",1)="#",IF(ISNUMBER(C50),AND(ISNUMBER(B50),ABS(C50-B50)&lt;=0.000001*MAX(1,ABS(B50))),EXACT(C50&amp;"",B50&amp;"")))</f>
      </c>
      <c r="E50">
        <f>ISERROR(C50)</f>
      </c>
    </row>
    <row r="51">
      <c r="A51" t="str">
        <v>G3</v>
      </c>
      <c r="B51" t="str">
        <v>MÙA XUÂN ĐÃ VỀ TRÊN QUÊ HƯƠNG</v>
      </c>
      <c r="C51">
        <f>'van8'!G3</f>
      </c>
      <c r="D51">
        <f>IF(ISERROR(C51),LEFT(B51&amp;"",1)="#",IF(ISNUMBER(C51),AND(ISNUMBER(B51),ABS(C51-B51)&lt;=0.000001*MAX(1,ABS(B51))),EXACT(C51&amp;"",B51&amp;"")))</f>
      </c>
      <c r="E51">
        <f>ISERROR(C51)</f>
      </c>
    </row>
    <row r="52">
      <c r="A52" t="str">
        <v>G4</v>
      </c>
      <c r="B52" t="str">
        <v>TIẾNG CHIM HÓT VANG TRONG VƯỜN</v>
      </c>
      <c r="C52">
        <f>'van8'!G4</f>
      </c>
      <c r="D52">
        <f>IF(ISERROR(C52),LEFT(B52&amp;"",1)="#",IF(ISNUMBER(C52),AND(ISNUMBER(B52),ABS(C52-B52)&lt;=0.000001*MAX(1,ABS(B52))),EXACT(C52&amp;"",B52&amp;"")))</f>
      </c>
      <c r="E52">
        <f>ISERROR(C52)</f>
      </c>
    </row>
    <row r="53">
      <c r="A53" t="str">
        <v>G5</v>
      </c>
      <c r="B53" t="str">
        <v>BUỔI CHIỀU GIÓ THỔI MÁT LÀNH</v>
      </c>
      <c r="C53">
        <f>'van8'!G5</f>
      </c>
      <c r="D53">
        <f>IF(ISERROR(C53),LEFT(B53&amp;"",1)="#",IF(ISNUMBER(C53),AND(ISNUMBER(B53),ABS(C53-B53)&lt;=0.000001*MAX(1,ABS(B53))),EXACT(C53&amp;"",B53&amp;"")))</f>
      </c>
      <c r="E53">
        <f>ISERROR(C53)</f>
      </c>
    </row>
    <row r="54">
      <c r="A54" t="str">
        <v>G6</v>
      </c>
      <c r="B54" t="str">
        <v>CHÚNG TA CÙNG NHAU ĐỌC SÁCH</v>
      </c>
      <c r="C54">
        <f>'van8'!G6</f>
      </c>
      <c r="D54">
        <f>IF(ISERROR(C54),LEFT(B54&amp;"",1)="#",IF(ISNUMBER(C54),AND(ISNUMBER(B54),ABS(C54-B54)&lt;=0.000001*MAX(1,ABS(B54))),EXACT(C54&amp;"",B54&amp;"")))</f>
      </c>
      <c r="E54">
        <f>ISERROR(C54)</f>
      </c>
    </row>
    <row r="55">
      <c r="A55" t="str">
        <v>G7</v>
      </c>
      <c r="B55" t="str">
        <v>TIẾNG CHIM HÓT VANG TRONG VƯỜN</v>
      </c>
      <c r="C55">
        <f>'van8'!G7</f>
      </c>
      <c r="D55">
        <f>IF(ISERROR(C55),LEFT(B55&amp;"",1)="#",IF(ISNUMBER(C55),AND(ISNUMBER(B55),ABS(C55-B55)&lt;=0.000001*MAX(1,ABS(B55))),EXACT(C55&amp;"",B55&amp;"")))</f>
      </c>
      <c r="E55">
        <f>ISERROR(C55)</f>
      </c>
    </row>
    <row r="56">
      <c r="A56" t="str">
        <v>G8</v>
      </c>
      <c r="B56" t="str">
        <v>BUỔI CHIỀU GIÓ THỔI MÁT LÀNH</v>
      </c>
      <c r="C56">
        <f>'van8'!G8</f>
      </c>
      <c r="D56">
        <f>IF(ISERROR(C56),LEFT(B56&amp;"",1)="#",IF(ISNUMBER(C56),AND(ISNUMBER(B56),ABS(C56-B56)&lt;=0.000001*MAX(1,ABS(B56))),EXACT(C56&amp;"",B56&amp;"")))</f>
      </c>
      <c r="E56">
        <f>ISERROR(C56)</f>
      </c>
    </row>
    <row r="57">
      <c r="A57" t="str">
        <v>G9</v>
      </c>
      <c r="B57" t="str">
        <v>CON ĐƯỜNG LÀNG ĐẦY HOA</v>
      </c>
      <c r="C57">
        <f>'van8'!G9</f>
      </c>
      <c r="D57">
        <f>IF(ISERROR(C57),LEFT(B57&amp;"",1)="#",IF(ISNUMBER(C57),AND(ISNUMBER(B57),ABS(C57-B57)&lt;=0.000001*MAX(1,ABS(B57))),EXACT(C57&amp;"",B57&amp;"")))</f>
      </c>
      <c r="E57">
        <f>ISERROR(C57)</f>
      </c>
    </row>
    <row r="58">
      <c r="A58" t="str">
        <v>G10</v>
      </c>
      <c r="B58" t="str">
        <v>MÙA XUÂN ĐÃ VỀ TRÊN QUÊ HƯƠNG</v>
      </c>
      <c r="C58">
        <f>'van8'!G10</f>
      </c>
      <c r="D58">
        <f>IF(ISERROR(C58),LEFT(B58&amp;"",1)="#",IF(ISNUMBER(C58),AND(ISNUMBER(B58),ABS(C58-B58)&lt;=0.000001*MAX(1,ABS(B58))),EXACT(C58&amp;"",B58&amp;"")))</f>
      </c>
      <c r="E58">
        <f>ISERROR(C58)</f>
      </c>
    </row>
    <row r="59">
      <c r="A59" t="str">
        <v>G11</v>
      </c>
      <c r="B59" t="str">
        <v>BUỔI CHIỀU GIÓ THỔI MÁT LÀNH</v>
      </c>
      <c r="C59">
        <f>'van8'!G11</f>
      </c>
      <c r="D59">
        <f>IF(ISERROR(C59),LEFT(B59&amp;"",1)="#",IF(ISNUMBER(C59),AND(ISNUMBER(B59),ABS(C59-B59)&lt;=0.000001*MAX(1,ABS(B59))),EXACT(C59&amp;"",B59&amp;"")))</f>
      </c>
      <c r="E59">
        <f>ISERROR(C59)</f>
      </c>
    </row>
    <row r="60">
      <c r="A60" t="str">
        <v>G12</v>
      </c>
      <c r="B60" t="str">
        <v>CHÚNG TA CÙNG NHAU ĐỌC SÁCH</v>
      </c>
      <c r="C60">
        <f>'van8'!G12</f>
      </c>
      <c r="D60">
        <f>IF(ISERROR(C60),LEFT(B60&amp;"",1)="#",IF(ISNUMBER(C60),AND(ISNUMBER(B60),ABS(C60-B60)&lt;=0.000001*MAX(1,ABS(B60))),EXACT(C60&amp;"",B60&amp;"")))</f>
      </c>
      <c r="E60">
        <f>ISERROR(C60)</f>
      </c>
    </row>
    <row r="61">
      <c r="A61" t="str">
        <v>G13</v>
      </c>
      <c r="B61" t="str">
        <v>CON ĐƯỜNG LÀNG ĐẦY HOA</v>
      </c>
      <c r="C61">
        <f>'van8'!G13</f>
      </c>
      <c r="D61">
        <f>IF(ISERROR(C61),LEFT(B61&amp;"",1)="#",IF(ISNUMBER(C61),AND(ISNUMBER(B61),ABS(C61-B61)&lt;=0.000001*MAX(1,ABS(B61))),EXACT(C61&amp;"",B61&amp;"")))</f>
      </c>
      <c r="E61">
        <f>ISERROR(C61)</f>
      </c>
    </row>
    <row r="62">
      <c r="A62" t="str">
        <v>H2</v>
      </c>
      <c r="B62" t="str">
        <v>DAI</v>
      </c>
      <c r="C62">
        <f>'van8'!H2</f>
      </c>
      <c r="D62">
        <f>IF(ISERROR(C62),LEFT(B62&amp;"",1)="#",IF(ISNUMBER(C62),AND(ISNUMBER(B62),ABS(C62-B62)&lt;=0.000001*MAX(1,ABS(B62))),EXACT(C62&amp;"",B62&amp;"")))</f>
      </c>
      <c r="E62">
        <f>ISERROR(C62)</f>
      </c>
    </row>
    <row r="63">
      <c r="A63" t="str">
        <v>H3</v>
      </c>
      <c r="B63" t="str">
        <v>DAI</v>
      </c>
      <c r="C63">
        <f>'van8'!H3</f>
      </c>
      <c r="D63">
        <f>IF(ISERROR(C63),LEFT(B63&amp;"",1)="#",IF(ISNUMBER(C63),AND(ISNUMBER(B63),ABS(C63-B63)&lt;=0.000001*MAX(1,ABS(B63))),EXACT(C63&amp;"",B63&amp;"")))</f>
      </c>
      <c r="E63">
        <f>ISERROR(C63)</f>
      </c>
    </row>
    <row r="64">
      <c r="A64" t="str">
        <v>H4</v>
      </c>
      <c r="B64" t="str">
        <v>DAI</v>
      </c>
      <c r="C64">
        <f>'van8'!H4</f>
      </c>
      <c r="D64">
        <f>IF(ISERROR(C64),LEFT(B64&amp;"",1)="#",IF(ISNUMBER(C64),AND(ISNUMBER(B64),ABS(C64-B64)&lt;=0.000001*MAX(1,ABS(B64))),EXACT(C64&amp;"",B64&amp;"")))</f>
      </c>
      <c r="E64">
        <f>ISERROR(C64)</f>
      </c>
    </row>
    <row r="65">
      <c r="A65" t="str">
        <v>H5</v>
      </c>
      <c r="B65" t="str">
        <v>DAI</v>
      </c>
      <c r="C65">
        <f>'van8'!H5</f>
      </c>
      <c r="D65">
        <f>IF(ISERROR(C65),LEFT(B65&amp;"",1)="#",IF(ISNUMBER(C65),AND(ISNUMBER(B65),ABS(C65-B65)&lt;=0.000001*MAX(1,ABS(B65))),EXACT(C65&amp;"",B65&amp;"")))</f>
      </c>
      <c r="E65">
        <f>ISERROR(C65)</f>
      </c>
    </row>
    <row r="66">
      <c r="A66" t="str">
        <v>H6</v>
      </c>
      <c r="B66" t="str">
        <v>DAI</v>
      </c>
      <c r="C66">
        <f>'van8'!H6</f>
      </c>
      <c r="D66">
        <f>IF(ISERROR(C66),LEFT(B66&amp;"",1)="#",IF(ISNUMBER(C66),AND(ISNUMBER(B66),ABS(C66-B66)&lt;=0.000001*MAX(1,ABS(B66))),EXACT(C66&amp;"",B66&amp;"")))</f>
      </c>
      <c r="E66">
        <f>ISERROR(C66)</f>
      </c>
    </row>
    <row r="67">
      <c r="A67" t="str">
        <v>H7</v>
      </c>
      <c r="B67" t="str">
        <v>DAI</v>
      </c>
      <c r="C67">
        <f>'van8'!H7</f>
      </c>
      <c r="D67">
        <f>IF(ISERROR(C67),LEFT(B67&amp;"",1)="#",IF(ISNUMBER(C67),AND(ISNUMBER(B67),ABS(C67-B67)&lt;=0.000001*MAX(1,ABS(B67))),EXACT(C67&amp;"",B67&amp;"")))</f>
      </c>
      <c r="E67">
        <f>ISERROR(C67)</f>
      </c>
    </row>
    <row r="68">
      <c r="A68" t="str">
        <v>H8</v>
      </c>
      <c r="B68" t="str">
        <v>DAI</v>
      </c>
      <c r="C68">
        <f>'van8'!H8</f>
      </c>
      <c r="D68">
        <f>IF(ISERROR(C68),LEFT(B68&amp;"",1)="#",IF(ISNUMBER(C68),AND(ISNUMBER(B68),ABS(C68-B68)&lt;=0.000001*MAX(1,ABS(B68))),EXACT(C68&amp;"",B68&amp;"")))</f>
      </c>
      <c r="E68">
        <f>ISERROR(C68)</f>
      </c>
    </row>
    <row r="69">
      <c r="A69" t="str">
        <v>H9</v>
      </c>
      <c r="B69" t="str">
        <v>DAI</v>
      </c>
      <c r="C69">
        <f>'van8'!H9</f>
      </c>
      <c r="D69">
        <f>IF(ISERROR(C69),LEFT(B69&amp;"",1)="#",IF(ISNUMBER(C69),AND(ISNUMBER(B69),ABS(C69-B69)&lt;=0.000001*MAX(1,ABS(B69))),EXACT(C69&amp;"",B69&amp;"")))</f>
      </c>
      <c r="E69">
        <f>ISERROR(C69)</f>
      </c>
    </row>
    <row r="70">
      <c r="A70" t="str">
        <v>H10</v>
      </c>
      <c r="B70" t="str">
        <v>DAI</v>
      </c>
      <c r="C70">
        <f>'van8'!H10</f>
      </c>
      <c r="D70">
        <f>IF(ISERROR(C70),LEFT(B70&amp;"",1)="#",IF(ISNUMBER(C70),AND(ISNUMBER(B70),ABS(C70-B70)&lt;=0.000001*MAX(1,ABS(B70))),EXACT(C70&amp;"",B70&amp;"")))</f>
      </c>
      <c r="E70">
        <f>ISERROR(C70)</f>
      </c>
    </row>
    <row r="71">
      <c r="A71" t="str">
        <v>H11</v>
      </c>
      <c r="B71" t="str">
        <v>DAI</v>
      </c>
      <c r="C71">
        <f>'van8'!H11</f>
      </c>
      <c r="D71">
        <f>IF(ISERROR(C71),LEFT(B71&amp;"",1)="#",IF(ISNUMBER(C71),AND(ISNUMBER(B71),ABS(C71-B71)&lt;=0.000001*MAX(1,ABS(B71))),EXACT(C71&amp;"",B71&amp;"")))</f>
      </c>
      <c r="E71">
        <f>ISERROR(C71)</f>
      </c>
    </row>
    <row r="72">
      <c r="A72" t="str">
        <v>H12</v>
      </c>
      <c r="B72" t="str">
        <v>DAI</v>
      </c>
      <c r="C72">
        <f>'van8'!H12</f>
      </c>
      <c r="D72">
        <f>IF(ISERROR(C72),LEFT(B72&amp;"",1)="#",IF(ISNUMBER(C72),AND(ISNUMBER(B72),ABS(C72-B72)&lt;=0.000001*MAX(1,ABS(B72))),EXACT(C72&amp;"",B72&amp;"")))</f>
      </c>
      <c r="E72">
        <f>ISERROR(C72)</f>
      </c>
    </row>
    <row r="73">
      <c r="A73" t="str">
        <v>H13</v>
      </c>
      <c r="B73" t="str">
        <v>DAI</v>
      </c>
      <c r="C73">
        <f>'van8'!H13</f>
      </c>
      <c r="D73">
        <f>IF(ISERROR(C73),LEFT(B73&amp;"",1)="#",IF(ISNUMBER(C73),AND(ISNUMBER(B73),ABS(C73-B73)&lt;=0.000001*MAX(1,ABS(B73))),EXACT(C73&amp;"",B73&amp;"")))</f>
      </c>
      <c r="E73">
        <f>ISERROR(C73)</f>
      </c>
    </row>
    <row r="74">
      <c r="A74" t="str">
        <v>Z2</v>
      </c>
      <c r="B74" t="str">
        <v>B03</v>
      </c>
      <c r="C74">
        <f>'van8'!Z2</f>
      </c>
      <c r="D74">
        <f>IF(ISERROR(C74),LEFT(B74&amp;"",1)="#",IF(ISNUMBER(C74),AND(ISNUMBER(B74),ABS(C74-B74)&lt;=0.000001*MAX(1,ABS(B74))),EXACT(C74&amp;"",B74&amp;"")))</f>
      </c>
      <c r="E74">
        <f>ISERROR(C74)</f>
      </c>
    </row>
    <row r="75">
      <c r="A75" t="str">
        <v>Z3</v>
      </c>
      <c r="B75">
        <v>12</v>
      </c>
      <c r="C75">
        <f>'van8'!Z3</f>
      </c>
      <c r="D75">
        <f>IF(ISERROR(C75),LEFT(B75&amp;"",1)="#",IF(ISNUMBER(C75),AND(ISNUMBER(B75),ABS(C75-B75)&lt;=0.000001*MAX(1,ABS(B75))),EXACT(C75&amp;"",B75&amp;"")))</f>
      </c>
      <c r="E75">
        <f>ISERROR(C75)</f>
      </c>
    </row>
    <row r="76">
      <c r="A76" t="str">
        <v>Z4</v>
      </c>
      <c r="B76">
        <v>72</v>
      </c>
      <c r="C76">
        <f>'van8'!Z4</f>
      </c>
      <c r="D76">
        <f>IF(ISERROR(C76),LEFT(B76&amp;"",1)="#",IF(ISNUMBER(C76),AND(ISNUMBER(B76),ABS(C76-B76)&lt;=0.000001*MAX(1,ABS(B76))),EXACT(C76&amp;"",B76&amp;"")))</f>
      </c>
      <c r="E76">
        <f>ISERROR(C76)</f>
      </c>
    </row>
    <row r="77">
      <c r="A77" t="str">
        <v>Z5</v>
      </c>
      <c r="B77">
        <v>22.25</v>
      </c>
      <c r="C77">
        <f>'van8'!Z5</f>
      </c>
      <c r="D77">
        <f>IF(ISERROR(C77),LEFT(B77&amp;"",1)="#",IF(ISNUMBER(C77),AND(ISNUMBER(B77),ABS(C77-B77)&lt;=0.000001*MAX(1,ABS(B77))),EXACT(C77&amp;"",B77&amp;"")))</f>
      </c>
      <c r="E77">
        <f>ISERROR(C77)</f>
      </c>
    </row>
    <row r="78">
      <c r="A78" t="str">
        <v>Z6</v>
      </c>
      <c r="B78">
        <v>0</v>
      </c>
      <c r="C78">
        <f>'van8'!Z6</f>
      </c>
      <c r="D78">
        <f>IF(ISERROR(C78),LEFT(B78&amp;"",1)="#",IF(ISNUMBER(C78),AND(ISNUMBER(B78),ABS(C78-B78)&lt;=0.000001*MAX(1,ABS(B78))),EXACT(C78&amp;"",B78&amp;"")))</f>
      </c>
      <c r="E78">
        <f>ISERROR(C78)</f>
      </c>
    </row>
    <row r="79">
      <c r="A79" t="str">
        <v>Z7</v>
      </c>
      <c r="B79">
        <v>23</v>
      </c>
      <c r="C79">
        <f>'van8'!Z7</f>
      </c>
      <c r="D79">
        <f>IF(ISERROR(C79),LEFT(B79&amp;"",1)="#",IF(ISNUMBER(C79),AND(ISNUMBER(B79),ABS(C79-B79)&lt;=0.000001*MAX(1,ABS(B79))),EXACT(C79&amp;"",B79&amp;"")))</f>
      </c>
      <c r="E79">
        <f>ISERROR(C79)</f>
      </c>
    </row>
    <row r="80">
      <c r="A80" t="str">
        <v>Z8</v>
      </c>
      <c r="B80">
        <v>25</v>
      </c>
      <c r="C80">
        <f>'van8'!Z8</f>
      </c>
      <c r="D80">
        <f>IF(ISERROR(C80),LEFT(B80&amp;"",1)="#",IF(ISNUMBER(C80),AND(ISNUMBER(B80),ABS(C80-B80)&lt;=0.000001*MAX(1,ABS(B80))),EXACT(C80&amp;"",B80&amp;"")))</f>
      </c>
      <c r="E80">
        <f>ISERROR(C80)</f>
      </c>
    </row>
    <row r="81">
      <c r="A81" t="str">
        <v>Z9</v>
      </c>
      <c r="B81">
        <v>267</v>
      </c>
      <c r="C81">
        <f>'van8'!Z9</f>
      </c>
      <c r="D81">
        <f>IF(ISERROR(C81),LEFT(B81&amp;"",1)="#",IF(ISNUMBER(C81),AND(ISNUMBER(B81),ABS(C81-B81)&lt;=0.000001*MAX(1,ABS(B81))),EXACT(C81&amp;"",B81&amp;"")))</f>
      </c>
      <c r="E81">
        <f>ISERROR(C81)</f>
      </c>
    </row>
    <row r="82">
      <c r="A82" t="str">
        <v>Z10</v>
      </c>
      <c r="B82">
        <v>12</v>
      </c>
      <c r="C82">
        <f>'van8'!Z10</f>
      </c>
      <c r="D82">
        <f>IF(ISERROR(C82),LEFT(B82&amp;"",1)="#",IF(ISNUMBER(C82),AND(ISNUMBER(B82),ABS(C82-B82)&lt;=0.000001*MAX(1,ABS(B82))),EXACT(C82&amp;"",B82&amp;"")))</f>
      </c>
      <c r="E82">
        <f>ISERROR(C82)</f>
      </c>
    </row>
    <row r="83">
      <c r="A83" t="str">
        <v>Z11</v>
      </c>
      <c r="B83">
        <v>72</v>
      </c>
      <c r="C83">
        <f>'van8'!Z11</f>
      </c>
      <c r="D83">
        <f>IF(ISERROR(C83),LEFT(B83&amp;"",1)="#",IF(ISNUMBER(C83),AND(ISNUMBER(B83),ABS(C83-B83)&lt;=0.000001*MAX(1,ABS(B83))),EXACT(C83&amp;"",B83&amp;"")))</f>
      </c>
      <c r="E83">
        <f>ISERROR(C83)</f>
      </c>
    </row>
    <row r="84">
      <c r="A84" t="str">
        <v>Z12</v>
      </c>
      <c r="B84">
        <v>1612</v>
      </c>
      <c r="C84">
        <f>'van8'!Z12</f>
      </c>
      <c r="D84">
        <f>IF(ISERROR(C84),LEFT(B84&amp;"",1)="#",IF(ISNUMBER(C84),AND(ISNUMBER(B84),ABS(C84-B84)&lt;=0.000001*MAX(1,ABS(B84))),EXACT(C84&amp;"",B84&amp;"")))</f>
      </c>
      <c r="E84">
        <f>ISERROR(C84)</f>
      </c>
    </row>
  </sheetData>
  <ignoredErrors>
    <ignoredError numberStoredAsText="1" sqref="A1:E84"/>
  </ignoredErrors>
</worksheet>
</file>

<file path=xl/worksheets/sheet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MaHS</v>
      </c>
      <c r="B1" t="str">
        <v>Toan</v>
      </c>
      <c r="C1" t="str">
        <v>Van</v>
      </c>
      <c r="D1" t="str">
        <v>Anh</v>
      </c>
      <c r="E1" t="str">
        <v>KHTN</v>
      </c>
      <c r="F1" t="str">
        <v>TongDiem</v>
      </c>
      <c r="G1" t="str">
        <v>DiemTB</v>
      </c>
      <c r="H1" t="str">
        <v>CaoNhat</v>
      </c>
      <c r="I1" t="str">
        <v>ThapNhat</v>
      </c>
      <c r="J1" t="str">
        <v>SoMonThi</v>
      </c>
      <c r="Y1" t="str">
        <v>TongHop</v>
      </c>
      <c r="Z1" t="str">
        <v>KetQua</v>
      </c>
    </row>
    <row r="2">
      <c r="A2" t="str">
        <v>HS01</v>
      </c>
      <c r="B2">
        <v>8</v>
      </c>
      <c r="C2">
        <v>6.5</v>
      </c>
      <c r="D2">
        <v>7</v>
      </c>
      <c r="E2">
        <v>4</v>
      </c>
      <c r="F2">
        <f>SUM(B2:E2)</f>
        <v>25.5</v>
      </c>
      <c r="G2">
        <f>ROUND(AVERAGE(B2:E2),1)</f>
        <v>6.4</v>
      </c>
      <c r="H2">
        <f>MAX(B2:E2)</f>
        <v>8</v>
      </c>
      <c r="I2">
        <f>MIN(B2:E2)</f>
        <v>4</v>
      </c>
      <c r="J2">
        <f>COUNT(B2:E2)</f>
        <v>4</v>
      </c>
      <c r="Y2" t="str">
        <v>Tong diem mon Toan cua lop</v>
      </c>
      <c r="Z2">
        <f>SUM(B2:B13)</f>
        <v>85</v>
      </c>
    </row>
    <row r="3">
      <c r="A3" t="str">
        <v>HS02</v>
      </c>
      <c r="B3">
        <v>5</v>
      </c>
      <c r="C3">
        <v>9.5</v>
      </c>
      <c r="E3">
        <v>4</v>
      </c>
      <c r="F3">
        <f>SUM(B3:E3)</f>
        <v>18.5</v>
      </c>
      <c r="G3">
        <f>ROUND(AVERAGE(B3:E3),1)</f>
        <v>6.2</v>
      </c>
      <c r="H3">
        <f>MAX(B3:E3)</f>
        <v>9.5</v>
      </c>
      <c r="I3">
        <f>MIN(B3:E3)</f>
        <v>4</v>
      </c>
      <c r="J3">
        <f>COUNT(B3:E3)</f>
        <v>3</v>
      </c>
      <c r="Y3" t="str">
        <v>Diem Van trung binh cua lop</v>
      </c>
      <c r="Z3">
        <f>ROUND(AVERAGE(C2:C13),2)</f>
        <v>7.08</v>
      </c>
    </row>
    <row r="4">
      <c r="A4" t="str">
        <v>HS03</v>
      </c>
      <c r="B4">
        <v>9.5</v>
      </c>
      <c r="C4">
        <v>5.5</v>
      </c>
      <c r="D4">
        <v>8.5</v>
      </c>
      <c r="E4">
        <v>8</v>
      </c>
      <c r="F4">
        <f>SUM(B4:E4)</f>
        <v>31.5</v>
      </c>
      <c r="G4">
        <f>ROUND(AVERAGE(B4:E4),1)</f>
        <v>7.9</v>
      </c>
      <c r="H4">
        <f>MAX(B4:E4)</f>
        <v>9.5</v>
      </c>
      <c r="I4">
        <f>MIN(B4:E4)</f>
        <v>5.5</v>
      </c>
      <c r="J4">
        <f>COUNT(B4:E4)</f>
        <v>4</v>
      </c>
      <c r="Y4" t="str">
        <v>Diem TB cao nhat lop</v>
      </c>
      <c r="Z4">
        <f>MAX(G2:G13)</f>
        <v>9.4</v>
      </c>
    </row>
    <row r="5">
      <c r="A5" t="str">
        <v>HS04</v>
      </c>
      <c r="B5">
        <v>5.5</v>
      </c>
      <c r="C5">
        <v>6</v>
      </c>
      <c r="D5">
        <v>9</v>
      </c>
      <c r="E5">
        <v>8.5</v>
      </c>
      <c r="F5">
        <f>SUM(B5:E5)</f>
        <v>29</v>
      </c>
      <c r="G5">
        <f>ROUND(AVERAGE(B5:E5),1)</f>
        <v>7.3</v>
      </c>
      <c r="H5">
        <f>MAX(B5:E5)</f>
        <v>9</v>
      </c>
      <c r="I5">
        <f>MIN(B5:E5)</f>
        <v>5.5</v>
      </c>
      <c r="J5">
        <f>COUNT(B5:E5)</f>
        <v>4</v>
      </c>
      <c r="Y5" t="str">
        <v>Diem TB thap nhat lop</v>
      </c>
      <c r="Z5">
        <f>MIN(G2:G13)</f>
        <v>6.2</v>
      </c>
    </row>
    <row r="6">
      <c r="A6" t="str">
        <v>HS05</v>
      </c>
      <c r="B6">
        <v>9</v>
      </c>
      <c r="C6">
        <v>5</v>
      </c>
      <c r="D6">
        <v>9</v>
      </c>
      <c r="E6">
        <v>9.5</v>
      </c>
      <c r="F6">
        <f>SUM(B6:E6)</f>
        <v>32.5</v>
      </c>
      <c r="G6">
        <f>ROUND(AVERAGE(B6:E6),1)</f>
        <v>8.1</v>
      </c>
      <c r="H6">
        <f>MAX(B6:E6)</f>
        <v>9.5</v>
      </c>
      <c r="I6">
        <f>MIN(B6:E6)</f>
        <v>5</v>
      </c>
      <c r="J6">
        <f>COUNT(B6:E6)</f>
        <v>4</v>
      </c>
      <c r="Y6" t="str">
        <v>So HS co diem mon Anh</v>
      </c>
      <c r="Z6">
        <f>COUNT(D2:D13)</f>
        <v>9</v>
      </c>
    </row>
    <row r="7">
      <c r="A7" t="str">
        <v>HS06</v>
      </c>
      <c r="B7">
        <v>5</v>
      </c>
      <c r="C7">
        <v>10</v>
      </c>
      <c r="E7">
        <v>9.5</v>
      </c>
      <c r="F7">
        <f>SUM(B7:E7)</f>
        <v>24.5</v>
      </c>
      <c r="G7">
        <f>ROUND(AVERAGE(B7:E7),1)</f>
        <v>8.2</v>
      </c>
      <c r="H7">
        <f>MAX(B7:E7)</f>
        <v>10</v>
      </c>
      <c r="I7">
        <f>MIN(B7:E7)</f>
        <v>5</v>
      </c>
      <c r="J7">
        <f>COUNT(B7:E7)</f>
        <v>3</v>
      </c>
      <c r="Y7" t="str">
        <v>Tong TongDiem ca lop</v>
      </c>
      <c r="Z7">
        <f>SUM(F2:F13)</f>
        <v>328.5</v>
      </c>
    </row>
    <row r="8">
      <c r="A8" t="str">
        <v>HS07</v>
      </c>
      <c r="B8">
        <v>5</v>
      </c>
      <c r="C8">
        <v>7</v>
      </c>
      <c r="D8">
        <v>6</v>
      </c>
      <c r="E8">
        <v>7.5</v>
      </c>
      <c r="F8">
        <f>SUM(B8:E8)</f>
        <v>25.5</v>
      </c>
      <c r="G8">
        <f>ROUND(AVERAGE(B8:E8),1)</f>
        <v>6.4</v>
      </c>
      <c r="H8">
        <f>MAX(B8:E8)</f>
        <v>7.5</v>
      </c>
      <c r="I8">
        <f>MIN(B8:E8)</f>
        <v>5</v>
      </c>
      <c r="J8">
        <f>COUNT(B8:E8)</f>
        <v>4</v>
      </c>
    </row>
    <row r="9">
      <c r="A9" t="str">
        <v>HS08</v>
      </c>
      <c r="B9">
        <v>4.5</v>
      </c>
      <c r="C9">
        <v>5</v>
      </c>
      <c r="D9">
        <v>7</v>
      </c>
      <c r="E9">
        <v>9.5</v>
      </c>
      <c r="F9">
        <f>SUM(B9:E9)</f>
        <v>26</v>
      </c>
      <c r="G9">
        <f>ROUND(AVERAGE(B9:E9),1)</f>
        <v>6.5</v>
      </c>
      <c r="H9">
        <f>MAX(B9:E9)</f>
        <v>9.5</v>
      </c>
      <c r="I9">
        <f>MIN(B9:E9)</f>
        <v>4.5</v>
      </c>
      <c r="J9">
        <f>COUNT(B9:E9)</f>
        <v>4</v>
      </c>
    </row>
    <row r="10">
      <c r="A10" t="str">
        <v>HS09</v>
      </c>
      <c r="B10">
        <v>10</v>
      </c>
      <c r="C10">
        <v>8.5</v>
      </c>
      <c r="D10">
        <v>9</v>
      </c>
      <c r="E10">
        <v>10</v>
      </c>
      <c r="F10">
        <f>SUM(B10:E10)</f>
        <v>37.5</v>
      </c>
      <c r="G10">
        <f>ROUND(AVERAGE(B10:E10),1)</f>
        <v>9.4</v>
      </c>
      <c r="H10">
        <f>MAX(B10:E10)</f>
        <v>10</v>
      </c>
      <c r="I10">
        <f>MIN(B10:E10)</f>
        <v>8.5</v>
      </c>
      <c r="J10">
        <f>COUNT(B10:E10)</f>
        <v>4</v>
      </c>
    </row>
    <row r="11">
      <c r="A11" t="str">
        <v>HS10</v>
      </c>
      <c r="B11">
        <v>10</v>
      </c>
      <c r="C11">
        <v>9</v>
      </c>
      <c r="E11">
        <v>6.5</v>
      </c>
      <c r="F11">
        <f>SUM(B11:E11)</f>
        <v>25.5</v>
      </c>
      <c r="G11">
        <f>ROUND(AVERAGE(B11:E11),1)</f>
        <v>8.5</v>
      </c>
      <c r="H11">
        <f>MAX(B11:E11)</f>
        <v>10</v>
      </c>
      <c r="I11">
        <f>MIN(B11:E11)</f>
        <v>6.5</v>
      </c>
      <c r="J11">
        <f>COUNT(B11:E11)</f>
        <v>3</v>
      </c>
    </row>
    <row r="12">
      <c r="A12" t="str">
        <v>HS11</v>
      </c>
      <c r="B12">
        <v>9.5</v>
      </c>
      <c r="C12">
        <v>5</v>
      </c>
      <c r="D12">
        <v>6.5</v>
      </c>
      <c r="E12">
        <v>6</v>
      </c>
      <c r="F12">
        <f>SUM(B12:E12)</f>
        <v>27</v>
      </c>
      <c r="G12">
        <f>ROUND(AVERAGE(B12:E12),1)</f>
        <v>6.8</v>
      </c>
      <c r="H12">
        <f>MAX(B12:E12)</f>
        <v>9.5</v>
      </c>
      <c r="I12">
        <f>MIN(B12:E12)</f>
        <v>5</v>
      </c>
      <c r="J12">
        <f>COUNT(B12:E12)</f>
        <v>4</v>
      </c>
    </row>
    <row r="13">
      <c r="A13" t="str">
        <v>HS12</v>
      </c>
      <c r="B13">
        <v>4</v>
      </c>
      <c r="C13">
        <v>8</v>
      </c>
      <c r="D13">
        <v>4.5</v>
      </c>
      <c r="E13">
        <v>9</v>
      </c>
      <c r="F13">
        <f>SUM(B13:E13)</f>
        <v>25.5</v>
      </c>
      <c r="G13">
        <f>ROUND(AVERAGE(B13:E13),1)</f>
        <v>6.4</v>
      </c>
      <c r="H13">
        <f>MAX(B13:E13)</f>
        <v>9</v>
      </c>
      <c r="I13">
        <f>MIN(B13:E13)</f>
        <v>4</v>
      </c>
      <c r="J13">
        <f>COUNT(B13:E13)</f>
        <v>4</v>
      </c>
    </row>
  </sheetData>
  <ignoredErrors>
    <ignoredError numberStoredAsText="1" sqref="A1:Z13"/>
  </ignoredErrors>
</worksheet>
</file>

<file path=xl/worksheets/sheet9.xml><?xml version="1.0" encoding="utf-8"?>
<worksheet xmlns="http://schemas.openxmlformats.org/spreadsheetml/2006/main" xmlns:r="http://schemas.openxmlformats.org/officeDocument/2006/relationships">
  <dimension ref="A1:E67"/>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25.5</v>
      </c>
      <c r="C2">
        <f>'tin7'!F2</f>
      </c>
      <c r="D2">
        <f>IF(ISERROR(C2),LEFT(B2&amp;"",1)="#",IF(ISNUMBER(C2),AND(ISNUMBER(B2),ABS(C2-B2)&lt;=0.000001*MAX(1,ABS(B2))),EXACT(C2&amp;"",B2&amp;"")))</f>
      </c>
      <c r="E2">
        <f>ISERROR(C2)</f>
      </c>
    </row>
    <row r="3">
      <c r="A3" t="str">
        <v>F3</v>
      </c>
      <c r="B3">
        <v>18.5</v>
      </c>
      <c r="C3">
        <f>'tin7'!F3</f>
      </c>
      <c r="D3">
        <f>IF(ISERROR(C3),LEFT(B3&amp;"",1)="#",IF(ISNUMBER(C3),AND(ISNUMBER(B3),ABS(C3-B3)&lt;=0.000001*MAX(1,ABS(B3))),EXACT(C3&amp;"",B3&amp;"")))</f>
      </c>
      <c r="E3">
        <f>ISERROR(C3)</f>
      </c>
    </row>
    <row r="4">
      <c r="A4" t="str">
        <v>F4</v>
      </c>
      <c r="B4">
        <v>31.5</v>
      </c>
      <c r="C4">
        <f>'tin7'!F4</f>
      </c>
      <c r="D4">
        <f>IF(ISERROR(C4),LEFT(B4&amp;"",1)="#",IF(ISNUMBER(C4),AND(ISNUMBER(B4),ABS(C4-B4)&lt;=0.000001*MAX(1,ABS(B4))),EXACT(C4&amp;"",B4&amp;"")))</f>
      </c>
      <c r="E4">
        <f>ISERROR(C4)</f>
      </c>
    </row>
    <row r="5">
      <c r="A5" t="str">
        <v>F5</v>
      </c>
      <c r="B5">
        <v>29</v>
      </c>
      <c r="C5">
        <f>'tin7'!F5</f>
      </c>
      <c r="D5">
        <f>IF(ISERROR(C5),LEFT(B5&amp;"",1)="#",IF(ISNUMBER(C5),AND(ISNUMBER(B5),ABS(C5-B5)&lt;=0.000001*MAX(1,ABS(B5))),EXACT(C5&amp;"",B5&amp;"")))</f>
      </c>
      <c r="E5">
        <f>ISERROR(C5)</f>
      </c>
    </row>
    <row r="6">
      <c r="A6" t="str">
        <v>F6</v>
      </c>
      <c r="B6">
        <v>32.5</v>
      </c>
      <c r="C6">
        <f>'tin7'!F6</f>
      </c>
      <c r="D6">
        <f>IF(ISERROR(C6),LEFT(B6&amp;"",1)="#",IF(ISNUMBER(C6),AND(ISNUMBER(B6),ABS(C6-B6)&lt;=0.000001*MAX(1,ABS(B6))),EXACT(C6&amp;"",B6&amp;"")))</f>
      </c>
      <c r="E6">
        <f>ISERROR(C6)</f>
      </c>
    </row>
    <row r="7">
      <c r="A7" t="str">
        <v>F7</v>
      </c>
      <c r="B7">
        <v>24.5</v>
      </c>
      <c r="C7">
        <f>'tin7'!F7</f>
      </c>
      <c r="D7">
        <f>IF(ISERROR(C7),LEFT(B7&amp;"",1)="#",IF(ISNUMBER(C7),AND(ISNUMBER(B7),ABS(C7-B7)&lt;=0.000001*MAX(1,ABS(B7))),EXACT(C7&amp;"",B7&amp;"")))</f>
      </c>
      <c r="E7">
        <f>ISERROR(C7)</f>
      </c>
    </row>
    <row r="8">
      <c r="A8" t="str">
        <v>F8</v>
      </c>
      <c r="B8">
        <v>25.5</v>
      </c>
      <c r="C8">
        <f>'tin7'!F8</f>
      </c>
      <c r="D8">
        <f>IF(ISERROR(C8),LEFT(B8&amp;"",1)="#",IF(ISNUMBER(C8),AND(ISNUMBER(B8),ABS(C8-B8)&lt;=0.000001*MAX(1,ABS(B8))),EXACT(C8&amp;"",B8&amp;"")))</f>
      </c>
      <c r="E8">
        <f>ISERROR(C8)</f>
      </c>
    </row>
    <row r="9">
      <c r="A9" t="str">
        <v>F9</v>
      </c>
      <c r="B9">
        <v>26</v>
      </c>
      <c r="C9">
        <f>'tin7'!F9</f>
      </c>
      <c r="D9">
        <f>IF(ISERROR(C9),LEFT(B9&amp;"",1)="#",IF(ISNUMBER(C9),AND(ISNUMBER(B9),ABS(C9-B9)&lt;=0.000001*MAX(1,ABS(B9))),EXACT(C9&amp;"",B9&amp;"")))</f>
      </c>
      <c r="E9">
        <f>ISERROR(C9)</f>
      </c>
    </row>
    <row r="10">
      <c r="A10" t="str">
        <v>F10</v>
      </c>
      <c r="B10">
        <v>37.5</v>
      </c>
      <c r="C10">
        <f>'tin7'!F10</f>
      </c>
      <c r="D10">
        <f>IF(ISERROR(C10),LEFT(B10&amp;"",1)="#",IF(ISNUMBER(C10),AND(ISNUMBER(B10),ABS(C10-B10)&lt;=0.000001*MAX(1,ABS(B10))),EXACT(C10&amp;"",B10&amp;"")))</f>
      </c>
      <c r="E10">
        <f>ISERROR(C10)</f>
      </c>
    </row>
    <row r="11">
      <c r="A11" t="str">
        <v>F11</v>
      </c>
      <c r="B11">
        <v>25.5</v>
      </c>
      <c r="C11">
        <f>'tin7'!F11</f>
      </c>
      <c r="D11">
        <f>IF(ISERROR(C11),LEFT(B11&amp;"",1)="#",IF(ISNUMBER(C11),AND(ISNUMBER(B11),ABS(C11-B11)&lt;=0.000001*MAX(1,ABS(B11))),EXACT(C11&amp;"",B11&amp;"")))</f>
      </c>
      <c r="E11">
        <f>ISERROR(C11)</f>
      </c>
    </row>
    <row r="12">
      <c r="A12" t="str">
        <v>F12</v>
      </c>
      <c r="B12">
        <v>27</v>
      </c>
      <c r="C12">
        <f>'tin7'!F12</f>
      </c>
      <c r="D12">
        <f>IF(ISERROR(C12),LEFT(B12&amp;"",1)="#",IF(ISNUMBER(C12),AND(ISNUMBER(B12),ABS(C12-B12)&lt;=0.000001*MAX(1,ABS(B12))),EXACT(C12&amp;"",B12&amp;"")))</f>
      </c>
      <c r="E12">
        <f>ISERROR(C12)</f>
      </c>
    </row>
    <row r="13">
      <c r="A13" t="str">
        <v>F13</v>
      </c>
      <c r="B13">
        <v>25.5</v>
      </c>
      <c r="C13">
        <f>'tin7'!F13</f>
      </c>
      <c r="D13">
        <f>IF(ISERROR(C13),LEFT(B13&amp;"",1)="#",IF(ISNUMBER(C13),AND(ISNUMBER(B13),ABS(C13-B13)&lt;=0.000001*MAX(1,ABS(B13))),EXACT(C13&amp;"",B13&amp;"")))</f>
      </c>
      <c r="E13">
        <f>ISERROR(C13)</f>
      </c>
    </row>
    <row r="14">
      <c r="A14" t="str">
        <v>G2</v>
      </c>
      <c r="B14">
        <v>6.4</v>
      </c>
      <c r="C14">
        <f>'tin7'!G2</f>
      </c>
      <c r="D14">
        <f>IF(ISERROR(C14),LEFT(B14&amp;"",1)="#",IF(ISNUMBER(C14),AND(ISNUMBER(B14),ABS(C14-B14)&lt;=0.000001*MAX(1,ABS(B14))),EXACT(C14&amp;"",B14&amp;"")))</f>
      </c>
      <c r="E14">
        <f>ISERROR(C14)</f>
      </c>
    </row>
    <row r="15">
      <c r="A15" t="str">
        <v>G3</v>
      </c>
      <c r="B15">
        <v>6.2</v>
      </c>
      <c r="C15">
        <f>'tin7'!G3</f>
      </c>
      <c r="D15">
        <f>IF(ISERROR(C15),LEFT(B15&amp;"",1)="#",IF(ISNUMBER(C15),AND(ISNUMBER(B15),ABS(C15-B15)&lt;=0.000001*MAX(1,ABS(B15))),EXACT(C15&amp;"",B15&amp;"")))</f>
      </c>
      <c r="E15">
        <f>ISERROR(C15)</f>
      </c>
    </row>
    <row r="16">
      <c r="A16" t="str">
        <v>G4</v>
      </c>
      <c r="B16">
        <v>7.9</v>
      </c>
      <c r="C16">
        <f>'tin7'!G4</f>
      </c>
      <c r="D16">
        <f>IF(ISERROR(C16),LEFT(B16&amp;"",1)="#",IF(ISNUMBER(C16),AND(ISNUMBER(B16),ABS(C16-B16)&lt;=0.000001*MAX(1,ABS(B16))),EXACT(C16&amp;"",B16&amp;"")))</f>
      </c>
      <c r="E16">
        <f>ISERROR(C16)</f>
      </c>
    </row>
    <row r="17">
      <c r="A17" t="str">
        <v>G5</v>
      </c>
      <c r="B17">
        <v>7.3</v>
      </c>
      <c r="C17">
        <f>'tin7'!G5</f>
      </c>
      <c r="D17">
        <f>IF(ISERROR(C17),LEFT(B17&amp;"",1)="#",IF(ISNUMBER(C17),AND(ISNUMBER(B17),ABS(C17-B17)&lt;=0.000001*MAX(1,ABS(B17))),EXACT(C17&amp;"",B17&amp;"")))</f>
      </c>
      <c r="E17">
        <f>ISERROR(C17)</f>
      </c>
    </row>
    <row r="18">
      <c r="A18" t="str">
        <v>G6</v>
      </c>
      <c r="B18">
        <v>8.1</v>
      </c>
      <c r="C18">
        <f>'tin7'!G6</f>
      </c>
      <c r="D18">
        <f>IF(ISERROR(C18),LEFT(B18&amp;"",1)="#",IF(ISNUMBER(C18),AND(ISNUMBER(B18),ABS(C18-B18)&lt;=0.000001*MAX(1,ABS(B18))),EXACT(C18&amp;"",B18&amp;"")))</f>
      </c>
      <c r="E18">
        <f>ISERROR(C18)</f>
      </c>
    </row>
    <row r="19">
      <c r="A19" t="str">
        <v>G7</v>
      </c>
      <c r="B19">
        <v>8.2</v>
      </c>
      <c r="C19">
        <f>'tin7'!G7</f>
      </c>
      <c r="D19">
        <f>IF(ISERROR(C19),LEFT(B19&amp;"",1)="#",IF(ISNUMBER(C19),AND(ISNUMBER(B19),ABS(C19-B19)&lt;=0.000001*MAX(1,ABS(B19))),EXACT(C19&amp;"",B19&amp;"")))</f>
      </c>
      <c r="E19">
        <f>ISERROR(C19)</f>
      </c>
    </row>
    <row r="20">
      <c r="A20" t="str">
        <v>G8</v>
      </c>
      <c r="B20">
        <v>6.4</v>
      </c>
      <c r="C20">
        <f>'tin7'!G8</f>
      </c>
      <c r="D20">
        <f>IF(ISERROR(C20),LEFT(B20&amp;"",1)="#",IF(ISNUMBER(C20),AND(ISNUMBER(B20),ABS(C20-B20)&lt;=0.000001*MAX(1,ABS(B20))),EXACT(C20&amp;"",B20&amp;"")))</f>
      </c>
      <c r="E20">
        <f>ISERROR(C20)</f>
      </c>
    </row>
    <row r="21">
      <c r="A21" t="str">
        <v>G9</v>
      </c>
      <c r="B21">
        <v>6.5</v>
      </c>
      <c r="C21">
        <f>'tin7'!G9</f>
      </c>
      <c r="D21">
        <f>IF(ISERROR(C21),LEFT(B21&amp;"",1)="#",IF(ISNUMBER(C21),AND(ISNUMBER(B21),ABS(C21-B21)&lt;=0.000001*MAX(1,ABS(B21))),EXACT(C21&amp;"",B21&amp;"")))</f>
      </c>
      <c r="E21">
        <f>ISERROR(C21)</f>
      </c>
    </row>
    <row r="22">
      <c r="A22" t="str">
        <v>G10</v>
      </c>
      <c r="B22">
        <v>9.4</v>
      </c>
      <c r="C22">
        <f>'tin7'!G10</f>
      </c>
      <c r="D22">
        <f>IF(ISERROR(C22),LEFT(B22&amp;"",1)="#",IF(ISNUMBER(C22),AND(ISNUMBER(B22),ABS(C22-B22)&lt;=0.000001*MAX(1,ABS(B22))),EXACT(C22&amp;"",B22&amp;"")))</f>
      </c>
      <c r="E22">
        <f>ISERROR(C22)</f>
      </c>
    </row>
    <row r="23">
      <c r="A23" t="str">
        <v>G11</v>
      </c>
      <c r="B23">
        <v>8.5</v>
      </c>
      <c r="C23">
        <f>'tin7'!G11</f>
      </c>
      <c r="D23">
        <f>IF(ISERROR(C23),LEFT(B23&amp;"",1)="#",IF(ISNUMBER(C23),AND(ISNUMBER(B23),ABS(C23-B23)&lt;=0.000001*MAX(1,ABS(B23))),EXACT(C23&amp;"",B23&amp;"")))</f>
      </c>
      <c r="E23">
        <f>ISERROR(C23)</f>
      </c>
    </row>
    <row r="24">
      <c r="A24" t="str">
        <v>G12</v>
      </c>
      <c r="B24">
        <v>6.8</v>
      </c>
      <c r="C24">
        <f>'tin7'!G12</f>
      </c>
      <c r="D24">
        <f>IF(ISERROR(C24),LEFT(B24&amp;"",1)="#",IF(ISNUMBER(C24),AND(ISNUMBER(B24),ABS(C24-B24)&lt;=0.000001*MAX(1,ABS(B24))),EXACT(C24&amp;"",B24&amp;"")))</f>
      </c>
      <c r="E24">
        <f>ISERROR(C24)</f>
      </c>
    </row>
    <row r="25">
      <c r="A25" t="str">
        <v>G13</v>
      </c>
      <c r="B25">
        <v>6.4</v>
      </c>
      <c r="C25">
        <f>'tin7'!G13</f>
      </c>
      <c r="D25">
        <f>IF(ISERROR(C25),LEFT(B25&amp;"",1)="#",IF(ISNUMBER(C25),AND(ISNUMBER(B25),ABS(C25-B25)&lt;=0.000001*MAX(1,ABS(B25))),EXACT(C25&amp;"",B25&amp;"")))</f>
      </c>
      <c r="E25">
        <f>ISERROR(C25)</f>
      </c>
    </row>
    <row r="26">
      <c r="A26" t="str">
        <v>H2</v>
      </c>
      <c r="B26">
        <v>8</v>
      </c>
      <c r="C26">
        <f>'tin7'!H2</f>
      </c>
      <c r="D26">
        <f>IF(ISERROR(C26),LEFT(B26&amp;"",1)="#",IF(ISNUMBER(C26),AND(ISNUMBER(B26),ABS(C26-B26)&lt;=0.000001*MAX(1,ABS(B26))),EXACT(C26&amp;"",B26&amp;"")))</f>
      </c>
      <c r="E26">
        <f>ISERROR(C26)</f>
      </c>
    </row>
    <row r="27">
      <c r="A27" t="str">
        <v>H3</v>
      </c>
      <c r="B27">
        <v>9.5</v>
      </c>
      <c r="C27">
        <f>'tin7'!H3</f>
      </c>
      <c r="D27">
        <f>IF(ISERROR(C27),LEFT(B27&amp;"",1)="#",IF(ISNUMBER(C27),AND(ISNUMBER(B27),ABS(C27-B27)&lt;=0.000001*MAX(1,ABS(B27))),EXACT(C27&amp;"",B27&amp;"")))</f>
      </c>
      <c r="E27">
        <f>ISERROR(C27)</f>
      </c>
    </row>
    <row r="28">
      <c r="A28" t="str">
        <v>H4</v>
      </c>
      <c r="B28">
        <v>9.5</v>
      </c>
      <c r="C28">
        <f>'tin7'!H4</f>
      </c>
      <c r="D28">
        <f>IF(ISERROR(C28),LEFT(B28&amp;"",1)="#",IF(ISNUMBER(C28),AND(ISNUMBER(B28),ABS(C28-B28)&lt;=0.000001*MAX(1,ABS(B28))),EXACT(C28&amp;"",B28&amp;"")))</f>
      </c>
      <c r="E28">
        <f>ISERROR(C28)</f>
      </c>
    </row>
    <row r="29">
      <c r="A29" t="str">
        <v>H5</v>
      </c>
      <c r="B29">
        <v>9</v>
      </c>
      <c r="C29">
        <f>'tin7'!H5</f>
      </c>
      <c r="D29">
        <f>IF(ISERROR(C29),LEFT(B29&amp;"",1)="#",IF(ISNUMBER(C29),AND(ISNUMBER(B29),ABS(C29-B29)&lt;=0.000001*MAX(1,ABS(B29))),EXACT(C29&amp;"",B29&amp;"")))</f>
      </c>
      <c r="E29">
        <f>ISERROR(C29)</f>
      </c>
    </row>
    <row r="30">
      <c r="A30" t="str">
        <v>H6</v>
      </c>
      <c r="B30">
        <v>9.5</v>
      </c>
      <c r="C30">
        <f>'tin7'!H6</f>
      </c>
      <c r="D30">
        <f>IF(ISERROR(C30),LEFT(B30&amp;"",1)="#",IF(ISNUMBER(C30),AND(ISNUMBER(B30),ABS(C30-B30)&lt;=0.000001*MAX(1,ABS(B30))),EXACT(C30&amp;"",B30&amp;"")))</f>
      </c>
      <c r="E30">
        <f>ISERROR(C30)</f>
      </c>
    </row>
    <row r="31">
      <c r="A31" t="str">
        <v>H7</v>
      </c>
      <c r="B31">
        <v>10</v>
      </c>
      <c r="C31">
        <f>'tin7'!H7</f>
      </c>
      <c r="D31">
        <f>IF(ISERROR(C31),LEFT(B31&amp;"",1)="#",IF(ISNUMBER(C31),AND(ISNUMBER(B31),ABS(C31-B31)&lt;=0.000001*MAX(1,ABS(B31))),EXACT(C31&amp;"",B31&amp;"")))</f>
      </c>
      <c r="E31">
        <f>ISERROR(C31)</f>
      </c>
    </row>
    <row r="32">
      <c r="A32" t="str">
        <v>H8</v>
      </c>
      <c r="B32">
        <v>7.5</v>
      </c>
      <c r="C32">
        <f>'tin7'!H8</f>
      </c>
      <c r="D32">
        <f>IF(ISERROR(C32),LEFT(B32&amp;"",1)="#",IF(ISNUMBER(C32),AND(ISNUMBER(B32),ABS(C32-B32)&lt;=0.000001*MAX(1,ABS(B32))),EXACT(C32&amp;"",B32&amp;"")))</f>
      </c>
      <c r="E32">
        <f>ISERROR(C32)</f>
      </c>
    </row>
    <row r="33">
      <c r="A33" t="str">
        <v>H9</v>
      </c>
      <c r="B33">
        <v>9.5</v>
      </c>
      <c r="C33">
        <f>'tin7'!H9</f>
      </c>
      <c r="D33">
        <f>IF(ISERROR(C33),LEFT(B33&amp;"",1)="#",IF(ISNUMBER(C33),AND(ISNUMBER(B33),ABS(C33-B33)&lt;=0.000001*MAX(1,ABS(B33))),EXACT(C33&amp;"",B33&amp;"")))</f>
      </c>
      <c r="E33">
        <f>ISERROR(C33)</f>
      </c>
    </row>
    <row r="34">
      <c r="A34" t="str">
        <v>H10</v>
      </c>
      <c r="B34">
        <v>10</v>
      </c>
      <c r="C34">
        <f>'tin7'!H10</f>
      </c>
      <c r="D34">
        <f>IF(ISERROR(C34),LEFT(B34&amp;"",1)="#",IF(ISNUMBER(C34),AND(ISNUMBER(B34),ABS(C34-B34)&lt;=0.000001*MAX(1,ABS(B34))),EXACT(C34&amp;"",B34&amp;"")))</f>
      </c>
      <c r="E34">
        <f>ISERROR(C34)</f>
      </c>
    </row>
    <row r="35">
      <c r="A35" t="str">
        <v>H11</v>
      </c>
      <c r="B35">
        <v>10</v>
      </c>
      <c r="C35">
        <f>'tin7'!H11</f>
      </c>
      <c r="D35">
        <f>IF(ISERROR(C35),LEFT(B35&amp;"",1)="#",IF(ISNUMBER(C35),AND(ISNUMBER(B35),ABS(C35-B35)&lt;=0.000001*MAX(1,ABS(B35))),EXACT(C35&amp;"",B35&amp;"")))</f>
      </c>
      <c r="E35">
        <f>ISERROR(C35)</f>
      </c>
    </row>
    <row r="36">
      <c r="A36" t="str">
        <v>H12</v>
      </c>
      <c r="B36">
        <v>9.5</v>
      </c>
      <c r="C36">
        <f>'tin7'!H12</f>
      </c>
      <c r="D36">
        <f>IF(ISERROR(C36),LEFT(B36&amp;"",1)="#",IF(ISNUMBER(C36),AND(ISNUMBER(B36),ABS(C36-B36)&lt;=0.000001*MAX(1,ABS(B36))),EXACT(C36&amp;"",B36&amp;"")))</f>
      </c>
      <c r="E36">
        <f>ISERROR(C36)</f>
      </c>
    </row>
    <row r="37">
      <c r="A37" t="str">
        <v>H13</v>
      </c>
      <c r="B37">
        <v>9</v>
      </c>
      <c r="C37">
        <f>'tin7'!H13</f>
      </c>
      <c r="D37">
        <f>IF(ISERROR(C37),LEFT(B37&amp;"",1)="#",IF(ISNUMBER(C37),AND(ISNUMBER(B37),ABS(C37-B37)&lt;=0.000001*MAX(1,ABS(B37))),EXACT(C37&amp;"",B37&amp;"")))</f>
      </c>
      <c r="E37">
        <f>ISERROR(C37)</f>
      </c>
    </row>
    <row r="38">
      <c r="A38" t="str">
        <v>I2</v>
      </c>
      <c r="B38">
        <v>4</v>
      </c>
      <c r="C38">
        <f>'tin7'!I2</f>
      </c>
      <c r="D38">
        <f>IF(ISERROR(C38),LEFT(B38&amp;"",1)="#",IF(ISNUMBER(C38),AND(ISNUMBER(B38),ABS(C38-B38)&lt;=0.000001*MAX(1,ABS(B38))),EXACT(C38&amp;"",B38&amp;"")))</f>
      </c>
      <c r="E38">
        <f>ISERROR(C38)</f>
      </c>
    </row>
    <row r="39">
      <c r="A39" t="str">
        <v>I3</v>
      </c>
      <c r="B39">
        <v>4</v>
      </c>
      <c r="C39">
        <f>'tin7'!I3</f>
      </c>
      <c r="D39">
        <f>IF(ISERROR(C39),LEFT(B39&amp;"",1)="#",IF(ISNUMBER(C39),AND(ISNUMBER(B39),ABS(C39-B39)&lt;=0.000001*MAX(1,ABS(B39))),EXACT(C39&amp;"",B39&amp;"")))</f>
      </c>
      <c r="E39">
        <f>ISERROR(C39)</f>
      </c>
    </row>
    <row r="40">
      <c r="A40" t="str">
        <v>I4</v>
      </c>
      <c r="B40">
        <v>5.5</v>
      </c>
      <c r="C40">
        <f>'tin7'!I4</f>
      </c>
      <c r="D40">
        <f>IF(ISERROR(C40),LEFT(B40&amp;"",1)="#",IF(ISNUMBER(C40),AND(ISNUMBER(B40),ABS(C40-B40)&lt;=0.000001*MAX(1,ABS(B40))),EXACT(C40&amp;"",B40&amp;"")))</f>
      </c>
      <c r="E40">
        <f>ISERROR(C40)</f>
      </c>
    </row>
    <row r="41">
      <c r="A41" t="str">
        <v>I5</v>
      </c>
      <c r="B41">
        <v>5.5</v>
      </c>
      <c r="C41">
        <f>'tin7'!I5</f>
      </c>
      <c r="D41">
        <f>IF(ISERROR(C41),LEFT(B41&amp;"",1)="#",IF(ISNUMBER(C41),AND(ISNUMBER(B41),ABS(C41-B41)&lt;=0.000001*MAX(1,ABS(B41))),EXACT(C41&amp;"",B41&amp;"")))</f>
      </c>
      <c r="E41">
        <f>ISERROR(C41)</f>
      </c>
    </row>
    <row r="42">
      <c r="A42" t="str">
        <v>I6</v>
      </c>
      <c r="B42">
        <v>5</v>
      </c>
      <c r="C42">
        <f>'tin7'!I6</f>
      </c>
      <c r="D42">
        <f>IF(ISERROR(C42),LEFT(B42&amp;"",1)="#",IF(ISNUMBER(C42),AND(ISNUMBER(B42),ABS(C42-B42)&lt;=0.000001*MAX(1,ABS(B42))),EXACT(C42&amp;"",B42&amp;"")))</f>
      </c>
      <c r="E42">
        <f>ISERROR(C42)</f>
      </c>
    </row>
    <row r="43">
      <c r="A43" t="str">
        <v>I7</v>
      </c>
      <c r="B43">
        <v>5</v>
      </c>
      <c r="C43">
        <f>'tin7'!I7</f>
      </c>
      <c r="D43">
        <f>IF(ISERROR(C43),LEFT(B43&amp;"",1)="#",IF(ISNUMBER(C43),AND(ISNUMBER(B43),ABS(C43-B43)&lt;=0.000001*MAX(1,ABS(B43))),EXACT(C43&amp;"",B43&amp;"")))</f>
      </c>
      <c r="E43">
        <f>ISERROR(C43)</f>
      </c>
    </row>
    <row r="44">
      <c r="A44" t="str">
        <v>I8</v>
      </c>
      <c r="B44">
        <v>5</v>
      </c>
      <c r="C44">
        <f>'tin7'!I8</f>
      </c>
      <c r="D44">
        <f>IF(ISERROR(C44),LEFT(B44&amp;"",1)="#",IF(ISNUMBER(C44),AND(ISNUMBER(B44),ABS(C44-B44)&lt;=0.000001*MAX(1,ABS(B44))),EXACT(C44&amp;"",B44&amp;"")))</f>
      </c>
      <c r="E44">
        <f>ISERROR(C44)</f>
      </c>
    </row>
    <row r="45">
      <c r="A45" t="str">
        <v>I9</v>
      </c>
      <c r="B45">
        <v>4.5</v>
      </c>
      <c r="C45">
        <f>'tin7'!I9</f>
      </c>
      <c r="D45">
        <f>IF(ISERROR(C45),LEFT(B45&amp;"",1)="#",IF(ISNUMBER(C45),AND(ISNUMBER(B45),ABS(C45-B45)&lt;=0.000001*MAX(1,ABS(B45))),EXACT(C45&amp;"",B45&amp;"")))</f>
      </c>
      <c r="E45">
        <f>ISERROR(C45)</f>
      </c>
    </row>
    <row r="46">
      <c r="A46" t="str">
        <v>I10</v>
      </c>
      <c r="B46">
        <v>8.5</v>
      </c>
      <c r="C46">
        <f>'tin7'!I10</f>
      </c>
      <c r="D46">
        <f>IF(ISERROR(C46),LEFT(B46&amp;"",1)="#",IF(ISNUMBER(C46),AND(ISNUMBER(B46),ABS(C46-B46)&lt;=0.000001*MAX(1,ABS(B46))),EXACT(C46&amp;"",B46&amp;"")))</f>
      </c>
      <c r="E46">
        <f>ISERROR(C46)</f>
      </c>
    </row>
    <row r="47">
      <c r="A47" t="str">
        <v>I11</v>
      </c>
      <c r="B47">
        <v>6.5</v>
      </c>
      <c r="C47">
        <f>'tin7'!I11</f>
      </c>
      <c r="D47">
        <f>IF(ISERROR(C47),LEFT(B47&amp;"",1)="#",IF(ISNUMBER(C47),AND(ISNUMBER(B47),ABS(C47-B47)&lt;=0.000001*MAX(1,ABS(B47))),EXACT(C47&amp;"",B47&amp;"")))</f>
      </c>
      <c r="E47">
        <f>ISERROR(C47)</f>
      </c>
    </row>
    <row r="48">
      <c r="A48" t="str">
        <v>I12</v>
      </c>
      <c r="B48">
        <v>5</v>
      </c>
      <c r="C48">
        <f>'tin7'!I12</f>
      </c>
      <c r="D48">
        <f>IF(ISERROR(C48),LEFT(B48&amp;"",1)="#",IF(ISNUMBER(C48),AND(ISNUMBER(B48),ABS(C48-B48)&lt;=0.000001*MAX(1,ABS(B48))),EXACT(C48&amp;"",B48&amp;"")))</f>
      </c>
      <c r="E48">
        <f>ISERROR(C48)</f>
      </c>
    </row>
    <row r="49">
      <c r="A49" t="str">
        <v>I13</v>
      </c>
      <c r="B49">
        <v>4</v>
      </c>
      <c r="C49">
        <f>'tin7'!I13</f>
      </c>
      <c r="D49">
        <f>IF(ISERROR(C49),LEFT(B49&amp;"",1)="#",IF(ISNUMBER(C49),AND(ISNUMBER(B49),ABS(C49-B49)&lt;=0.000001*MAX(1,ABS(B49))),EXACT(C49&amp;"",B49&amp;"")))</f>
      </c>
      <c r="E49">
        <f>ISERROR(C49)</f>
      </c>
    </row>
    <row r="50">
      <c r="A50" t="str">
        <v>J2</v>
      </c>
      <c r="B50">
        <v>4</v>
      </c>
      <c r="C50">
        <f>'tin7'!J2</f>
      </c>
      <c r="D50">
        <f>IF(ISERROR(C50),LEFT(B50&amp;"",1)="#",IF(ISNUMBER(C50),AND(ISNUMBER(B50),ABS(C50-B50)&lt;=0.000001*MAX(1,ABS(B50))),EXACT(C50&amp;"",B50&amp;"")))</f>
      </c>
      <c r="E50">
        <f>ISERROR(C50)</f>
      </c>
    </row>
    <row r="51">
      <c r="A51" t="str">
        <v>J3</v>
      </c>
      <c r="B51">
        <v>3</v>
      </c>
      <c r="C51">
        <f>'tin7'!J3</f>
      </c>
      <c r="D51">
        <f>IF(ISERROR(C51),LEFT(B51&amp;"",1)="#",IF(ISNUMBER(C51),AND(ISNUMBER(B51),ABS(C51-B51)&lt;=0.000001*MAX(1,ABS(B51))),EXACT(C51&amp;"",B51&amp;"")))</f>
      </c>
      <c r="E51">
        <f>ISERROR(C51)</f>
      </c>
    </row>
    <row r="52">
      <c r="A52" t="str">
        <v>J4</v>
      </c>
      <c r="B52">
        <v>4</v>
      </c>
      <c r="C52">
        <f>'tin7'!J4</f>
      </c>
      <c r="D52">
        <f>IF(ISERROR(C52),LEFT(B52&amp;"",1)="#",IF(ISNUMBER(C52),AND(ISNUMBER(B52),ABS(C52-B52)&lt;=0.000001*MAX(1,ABS(B52))),EXACT(C52&amp;"",B52&amp;"")))</f>
      </c>
      <c r="E52">
        <f>ISERROR(C52)</f>
      </c>
    </row>
    <row r="53">
      <c r="A53" t="str">
        <v>J5</v>
      </c>
      <c r="B53">
        <v>4</v>
      </c>
      <c r="C53">
        <f>'tin7'!J5</f>
      </c>
      <c r="D53">
        <f>IF(ISERROR(C53),LEFT(B53&amp;"",1)="#",IF(ISNUMBER(C53),AND(ISNUMBER(B53),ABS(C53-B53)&lt;=0.000001*MAX(1,ABS(B53))),EXACT(C53&amp;"",B53&amp;"")))</f>
      </c>
      <c r="E53">
        <f>ISERROR(C53)</f>
      </c>
    </row>
    <row r="54">
      <c r="A54" t="str">
        <v>J6</v>
      </c>
      <c r="B54">
        <v>4</v>
      </c>
      <c r="C54">
        <f>'tin7'!J6</f>
      </c>
      <c r="D54">
        <f>IF(ISERROR(C54),LEFT(B54&amp;"",1)="#",IF(ISNUMBER(C54),AND(ISNUMBER(B54),ABS(C54-B54)&lt;=0.000001*MAX(1,ABS(B54))),EXACT(C54&amp;"",B54&amp;"")))</f>
      </c>
      <c r="E54">
        <f>ISERROR(C54)</f>
      </c>
    </row>
    <row r="55">
      <c r="A55" t="str">
        <v>J7</v>
      </c>
      <c r="B55">
        <v>3</v>
      </c>
      <c r="C55">
        <f>'tin7'!J7</f>
      </c>
      <c r="D55">
        <f>IF(ISERROR(C55),LEFT(B55&amp;"",1)="#",IF(ISNUMBER(C55),AND(ISNUMBER(B55),ABS(C55-B55)&lt;=0.000001*MAX(1,ABS(B55))),EXACT(C55&amp;"",B55&amp;"")))</f>
      </c>
      <c r="E55">
        <f>ISERROR(C55)</f>
      </c>
    </row>
    <row r="56">
      <c r="A56" t="str">
        <v>J8</v>
      </c>
      <c r="B56">
        <v>4</v>
      </c>
      <c r="C56">
        <f>'tin7'!J8</f>
      </c>
      <c r="D56">
        <f>IF(ISERROR(C56),LEFT(B56&amp;"",1)="#",IF(ISNUMBER(C56),AND(ISNUMBER(B56),ABS(C56-B56)&lt;=0.000001*MAX(1,ABS(B56))),EXACT(C56&amp;"",B56&amp;"")))</f>
      </c>
      <c r="E56">
        <f>ISERROR(C56)</f>
      </c>
    </row>
    <row r="57">
      <c r="A57" t="str">
        <v>J9</v>
      </c>
      <c r="B57">
        <v>4</v>
      </c>
      <c r="C57">
        <f>'tin7'!J9</f>
      </c>
      <c r="D57">
        <f>IF(ISERROR(C57),LEFT(B57&amp;"",1)="#",IF(ISNUMBER(C57),AND(ISNUMBER(B57),ABS(C57-B57)&lt;=0.000001*MAX(1,ABS(B57))),EXACT(C57&amp;"",B57&amp;"")))</f>
      </c>
      <c r="E57">
        <f>ISERROR(C57)</f>
      </c>
    </row>
    <row r="58">
      <c r="A58" t="str">
        <v>J10</v>
      </c>
      <c r="B58">
        <v>4</v>
      </c>
      <c r="C58">
        <f>'tin7'!J10</f>
      </c>
      <c r="D58">
        <f>IF(ISERROR(C58),LEFT(B58&amp;"",1)="#",IF(ISNUMBER(C58),AND(ISNUMBER(B58),ABS(C58-B58)&lt;=0.000001*MAX(1,ABS(B58))),EXACT(C58&amp;"",B58&amp;"")))</f>
      </c>
      <c r="E58">
        <f>ISERROR(C58)</f>
      </c>
    </row>
    <row r="59">
      <c r="A59" t="str">
        <v>J11</v>
      </c>
      <c r="B59">
        <v>3</v>
      </c>
      <c r="C59">
        <f>'tin7'!J11</f>
      </c>
      <c r="D59">
        <f>IF(ISERROR(C59),LEFT(B59&amp;"",1)="#",IF(ISNUMBER(C59),AND(ISNUMBER(B59),ABS(C59-B59)&lt;=0.000001*MAX(1,ABS(B59))),EXACT(C59&amp;"",B59&amp;"")))</f>
      </c>
      <c r="E59">
        <f>ISERROR(C59)</f>
      </c>
    </row>
    <row r="60">
      <c r="A60" t="str">
        <v>J12</v>
      </c>
      <c r="B60">
        <v>4</v>
      </c>
      <c r="C60">
        <f>'tin7'!J12</f>
      </c>
      <c r="D60">
        <f>IF(ISERROR(C60),LEFT(B60&amp;"",1)="#",IF(ISNUMBER(C60),AND(ISNUMBER(B60),ABS(C60-B60)&lt;=0.000001*MAX(1,ABS(B60))),EXACT(C60&amp;"",B60&amp;"")))</f>
      </c>
      <c r="E60">
        <f>ISERROR(C60)</f>
      </c>
    </row>
    <row r="61">
      <c r="A61" t="str">
        <v>J13</v>
      </c>
      <c r="B61">
        <v>4</v>
      </c>
      <c r="C61">
        <f>'tin7'!J13</f>
      </c>
      <c r="D61">
        <f>IF(ISERROR(C61),LEFT(B61&amp;"",1)="#",IF(ISNUMBER(C61),AND(ISNUMBER(B61),ABS(C61-B61)&lt;=0.000001*MAX(1,ABS(B61))),EXACT(C61&amp;"",B61&amp;"")))</f>
      </c>
      <c r="E61">
        <f>ISERROR(C61)</f>
      </c>
    </row>
    <row r="62">
      <c r="A62" t="str">
        <v>Z2</v>
      </c>
      <c r="B62">
        <v>85</v>
      </c>
      <c r="C62">
        <f>'tin7'!Z2</f>
      </c>
      <c r="D62">
        <f>IF(ISERROR(C62),LEFT(B62&amp;"",1)="#",IF(ISNUMBER(C62),AND(ISNUMBER(B62),ABS(C62-B62)&lt;=0.000001*MAX(1,ABS(B62))),EXACT(C62&amp;"",B62&amp;"")))</f>
      </c>
      <c r="E62">
        <f>ISERROR(C62)</f>
      </c>
    </row>
    <row r="63">
      <c r="A63" t="str">
        <v>Z3</v>
      </c>
      <c r="B63">
        <v>7.08</v>
      </c>
      <c r="C63">
        <f>'tin7'!Z3</f>
      </c>
      <c r="D63">
        <f>IF(ISERROR(C63),LEFT(B63&amp;"",1)="#",IF(ISNUMBER(C63),AND(ISNUMBER(B63),ABS(C63-B63)&lt;=0.000001*MAX(1,ABS(B63))),EXACT(C63&amp;"",B63&amp;"")))</f>
      </c>
      <c r="E63">
        <f>ISERROR(C63)</f>
      </c>
    </row>
    <row r="64">
      <c r="A64" t="str">
        <v>Z4</v>
      </c>
      <c r="B64">
        <v>9.4</v>
      </c>
      <c r="C64">
        <f>'tin7'!Z4</f>
      </c>
      <c r="D64">
        <f>IF(ISERROR(C64),LEFT(B64&amp;"",1)="#",IF(ISNUMBER(C64),AND(ISNUMBER(B64),ABS(C64-B64)&lt;=0.000001*MAX(1,ABS(B64))),EXACT(C64&amp;"",B64&amp;"")))</f>
      </c>
      <c r="E64">
        <f>ISERROR(C64)</f>
      </c>
    </row>
    <row r="65">
      <c r="A65" t="str">
        <v>Z5</v>
      </c>
      <c r="B65">
        <v>6.2</v>
      </c>
      <c r="C65">
        <f>'tin7'!Z5</f>
      </c>
      <c r="D65">
        <f>IF(ISERROR(C65),LEFT(B65&amp;"",1)="#",IF(ISNUMBER(C65),AND(ISNUMBER(B65),ABS(C65-B65)&lt;=0.000001*MAX(1,ABS(B65))),EXACT(C65&amp;"",B65&amp;"")))</f>
      </c>
      <c r="E65">
        <f>ISERROR(C65)</f>
      </c>
    </row>
    <row r="66">
      <c r="A66" t="str">
        <v>Z6</v>
      </c>
      <c r="B66">
        <v>9</v>
      </c>
      <c r="C66">
        <f>'tin7'!Z6</f>
      </c>
      <c r="D66">
        <f>IF(ISERROR(C66),LEFT(B66&amp;"",1)="#",IF(ISNUMBER(C66),AND(ISNUMBER(B66),ABS(C66-B66)&lt;=0.000001*MAX(1,ABS(B66))),EXACT(C66&amp;"",B66&amp;"")))</f>
      </c>
      <c r="E66">
        <f>ISERROR(C66)</f>
      </c>
    </row>
    <row r="67">
      <c r="A67" t="str">
        <v>Z7</v>
      </c>
      <c r="B67">
        <v>328.5</v>
      </c>
      <c r="C67">
        <f>'tin7'!Z7</f>
      </c>
      <c r="D67">
        <f>IF(ISERROR(C67),LEFT(B67&amp;"",1)="#",IF(ISNUMBER(C67),AND(ISNUMBER(B67),ABS(C67-B67)&lt;=0.000001*MAX(1,ABS(B67))),EXACT(C67&amp;"",B67&amp;"")))</f>
      </c>
      <c r="E67">
        <f>ISERROR(C67)</f>
      </c>
    </row>
  </sheetData>
  <ignoredErrors>
    <ignoredError numberStoredAsText="1" sqref="A1:E67"/>
  </ignoredErrors>
</worksheet>
</file>

<file path=xl/worksheets/sheet1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Chat</v>
      </c>
      <c r="C1" t="str">
        <v>Khoi</v>
      </c>
      <c r="D1" t="str">
        <v>M</v>
      </c>
      <c r="E1" t="str">
        <v>SoMol</v>
      </c>
      <c r="F1" t="str">
        <v>VKhi</v>
      </c>
      <c r="G1" t="str">
        <v>SoPhanTu</v>
      </c>
      <c r="H1" t="str">
        <v>SoVoiKK</v>
      </c>
      <c r="R1" t="str">
        <v>Chat</v>
      </c>
      <c r="S1" t="str">
        <v>KhoiLuongMol</v>
      </c>
      <c r="W1" t="str">
        <v>Chat</v>
      </c>
      <c r="Y1" t="str">
        <v>TongHop</v>
      </c>
      <c r="Z1" t="str">
        <v>KetQua</v>
      </c>
    </row>
    <row r="2">
      <c r="A2" t="str">
        <v>MK01</v>
      </c>
      <c r="B2" t="str">
        <v>H2</v>
      </c>
      <c r="C2">
        <v>56</v>
      </c>
      <c r="D2">
        <f>VLOOKUP(B2,$R$2:$S$6,2,FALSE)</f>
        <v>2</v>
      </c>
      <c r="E2">
        <f>ROUND(C2/D2,4)</f>
        <v>28</v>
      </c>
      <c r="F2">
        <f>ROUND(C2/D2*24.79,2)</f>
        <v>694.12</v>
      </c>
      <c r="G2">
        <f>ROUND(C2/D2*6.022,3)</f>
        <v>168.616</v>
      </c>
      <c r="H2" t="str">
        <f>IF(D2&lt;29,"NHE HON KK","NANG HON KK")</f>
        <v>NHE HON KK</v>
      </c>
      <c r="R2" t="str">
        <v>H2</v>
      </c>
      <c r="S2">
        <v>2</v>
      </c>
      <c r="W2" t="str">
        <v>O2</v>
      </c>
      <c r="Y2" t="str">
        <v>Ma MaMau co VKhi lon nhat</v>
      </c>
      <c r="Z2" t="str">
        <f>INDEX(A2:A13,MATCH(MAX(F2:F13),F2:F13,0))</f>
        <v>MK01</v>
      </c>
    </row>
    <row r="3">
      <c r="A3" t="str">
        <v>MK02</v>
      </c>
      <c r="B3" t="str">
        <v>O2</v>
      </c>
      <c r="C3">
        <v>36</v>
      </c>
      <c r="D3">
        <f>VLOOKUP(B3,$R$2:$S$6,2,FALSE)</f>
        <v>32</v>
      </c>
      <c r="E3">
        <f>ROUND(C3/D3,4)</f>
        <v>1.125</v>
      </c>
      <c r="F3">
        <f>ROUND(C3/D3*24.79,2)</f>
        <v>27.89</v>
      </c>
      <c r="G3">
        <f>ROUND(C3/D3*6.022,3)</f>
        <v>6.775</v>
      </c>
      <c r="H3" t="str">
        <f>IF(D3&lt;29,"NHE HON KK","NANG HON KK")</f>
        <v>NANG HON KK</v>
      </c>
      <c r="R3" t="str">
        <v>O2</v>
      </c>
      <c r="S3">
        <v>32</v>
      </c>
      <c r="Y3" t="str">
        <v>Tong Khoi khi Chat = O2</v>
      </c>
      <c r="Z3">
        <f>SUMIF(B2:B13,"O2",C2:C13)</f>
        <v>66</v>
      </c>
    </row>
    <row r="4">
      <c r="A4" t="str">
        <v>MK03</v>
      </c>
      <c r="B4" t="str">
        <v>N2</v>
      </c>
      <c r="C4">
        <v>40</v>
      </c>
      <c r="D4">
        <f>VLOOKUP(B4,$R$2:$S$6,2,FALSE)</f>
        <v>28</v>
      </c>
      <c r="E4">
        <f>ROUND(C4/D4,4)</f>
        <v>1.4286</v>
      </c>
      <c r="F4">
        <f>ROUND(C4/D4*24.79,2)</f>
        <v>35.41</v>
      </c>
      <c r="G4">
        <f>ROUND(C4/D4*6.022,3)</f>
        <v>8.603</v>
      </c>
      <c r="H4" t="str">
        <f>IF(D4&lt;29,"NHE HON KK","NANG HON KK")</f>
        <v>NHE HON KK</v>
      </c>
      <c r="R4" t="str">
        <v>N2</v>
      </c>
      <c r="S4">
        <v>28</v>
      </c>
      <c r="Y4" t="str">
        <v>So dong Chat = CO2, Khoi &gt;=20</v>
      </c>
      <c r="Z4">
        <f>COUNTIFS(B2:B13,"CO2",C2:C13,"&gt;=20")</f>
        <v>2</v>
      </c>
    </row>
    <row r="5">
      <c r="A5" t="str">
        <v>MK04</v>
      </c>
      <c r="B5" t="str">
        <v>CO2</v>
      </c>
      <c r="C5">
        <v>6</v>
      </c>
      <c r="D5">
        <f>VLOOKUP(B5,$R$2:$S$6,2,FALSE)</f>
        <v>44</v>
      </c>
      <c r="E5">
        <f>ROUND(C5/D5,4)</f>
        <v>0.1364</v>
      </c>
      <c r="F5">
        <f>ROUND(C5/D5*24.79,2)</f>
        <v>3.38</v>
      </c>
      <c r="G5">
        <f>ROUND(C5/D5*6.022,3)</f>
        <v>0.821</v>
      </c>
      <c r="H5" t="str">
        <f>IF(D5&lt;29,"NHE HON KK","NANG HON KK")</f>
        <v>NANG HON KK</v>
      </c>
      <c r="R5" t="str">
        <v>CO2</v>
      </c>
      <c r="S5">
        <v>44</v>
      </c>
      <c r="Y5" t="str">
        <v>VKhi trung binh khi Chat = N2</v>
      </c>
      <c r="Z5">
        <f>AVERAGEIF(B2:B13,"N2",F2:F13)</f>
        <v>35.41</v>
      </c>
    </row>
    <row r="6">
      <c r="A6" t="str">
        <v>MK05</v>
      </c>
      <c r="B6" t="str">
        <v>CH4</v>
      </c>
      <c r="C6">
        <v>16</v>
      </c>
      <c r="D6">
        <f>VLOOKUP(B6,$R$2:$S$6,2,FALSE)</f>
        <v>16</v>
      </c>
      <c r="E6">
        <f>ROUND(C6/D6,4)</f>
        <v>1</v>
      </c>
      <c r="F6">
        <f>ROUND(C6/D6*24.79,2)</f>
        <v>24.79</v>
      </c>
      <c r="G6">
        <f>ROUND(C6/D6*6.022,3)</f>
        <v>6.022</v>
      </c>
      <c r="H6" t="str">
        <f>IF(D6&lt;29,"NHE HON KK","NANG HON KK")</f>
        <v>NHE HON KK</v>
      </c>
      <c r="R6" t="str">
        <v>CH4</v>
      </c>
      <c r="S6">
        <v>16</v>
      </c>
      <c r="Y6" t="str">
        <v>SoMol lon nhat khi Chat = H2</v>
      </c>
      <c r="Z6">
        <f>_xlfn.MAXIFS(E2:E13,B2:B13,"H2")</f>
        <v>28</v>
      </c>
    </row>
    <row r="7">
      <c r="A7" t="str">
        <v>MK06</v>
      </c>
      <c r="B7" t="str">
        <v>CH4</v>
      </c>
      <c r="C7">
        <v>2</v>
      </c>
      <c r="D7">
        <f>VLOOKUP(B7,$R$2:$S$6,2,FALSE)</f>
        <v>16</v>
      </c>
      <c r="E7">
        <f>ROUND(C7/D7,4)</f>
        <v>0.125</v>
      </c>
      <c r="F7">
        <f>ROUND(C7/D7*24.79,2)</f>
        <v>3.1</v>
      </c>
      <c r="G7">
        <f>ROUND(C7/D7*6.022,3)</f>
        <v>0.753</v>
      </c>
      <c r="H7" t="str">
        <f>IF(D7&lt;29,"NHE HON KK","NANG HON KK")</f>
        <v>NHE HON KK</v>
      </c>
      <c r="Y7" t="str">
        <v>VKhi trung vi</v>
      </c>
      <c r="Z7">
        <f>MEDIAN(F2:F13)</f>
        <v>28.595</v>
      </c>
    </row>
    <row r="8">
      <c r="A8" t="str">
        <v>MK07</v>
      </c>
      <c r="B8" t="str">
        <v>CH4</v>
      </c>
      <c r="C8">
        <v>26</v>
      </c>
      <c r="D8">
        <f>VLOOKUP(B8,$R$2:$S$6,2,FALSE)</f>
        <v>16</v>
      </c>
      <c r="E8">
        <f>ROUND(C8/D8,4)</f>
        <v>1.625</v>
      </c>
      <c r="F8">
        <f>ROUND(C8/D8*24.79,2)</f>
        <v>40.28</v>
      </c>
      <c r="G8">
        <f>ROUND(C8/D8*6.022,3)</f>
        <v>9.786</v>
      </c>
      <c r="H8" t="str">
        <f>IF(D8&lt;29,"NHE HON KK","NANG HON KK")</f>
        <v>NHE HON KK</v>
      </c>
      <c r="Y8" t="str">
        <v>VKhi lon thu hai</v>
      </c>
      <c r="Z8">
        <f>LARGE(F2:F13,2)</f>
        <v>96.06</v>
      </c>
    </row>
    <row r="9">
      <c r="A9" t="str">
        <v>MK08</v>
      </c>
      <c r="B9" t="str">
        <v>CO2</v>
      </c>
      <c r="C9">
        <v>52</v>
      </c>
      <c r="D9">
        <f>VLOOKUP(B9,$R$2:$S$6,2,FALSE)</f>
        <v>44</v>
      </c>
      <c r="E9">
        <f>ROUND(C9/D9,4)</f>
        <v>1.1818</v>
      </c>
      <c r="F9">
        <f>ROUND(C9/D9*24.79,2)</f>
        <v>29.3</v>
      </c>
      <c r="G9">
        <f>ROUND(C9/D9*6.022,3)</f>
        <v>7.117</v>
      </c>
      <c r="H9" t="str">
        <f>IF(D9&lt;29,"NHE HON KK","NANG HON KK")</f>
        <v>NANG HON KK</v>
      </c>
      <c r="Y9" t="str">
        <v>Do lech chuan SoMol</v>
      </c>
      <c r="Z9">
        <f>ROUND(STDEV(E2:E13),3)</f>
        <v>7.769</v>
      </c>
    </row>
    <row r="10">
      <c r="A10" t="str">
        <v>MK09</v>
      </c>
      <c r="B10" t="str">
        <v>O2</v>
      </c>
      <c r="C10">
        <v>30</v>
      </c>
      <c r="D10">
        <f>VLOOKUP(B10,$R$2:$S$6,2,FALSE)</f>
        <v>32</v>
      </c>
      <c r="E10">
        <f>ROUND(C10/D10,4)</f>
        <v>0.9375</v>
      </c>
      <c r="F10">
        <f>ROUND(C10/D10*24.79,2)</f>
        <v>23.24</v>
      </c>
      <c r="G10">
        <f>ROUND(C10/D10*6.022,3)</f>
        <v>5.646</v>
      </c>
      <c r="H10" t="str">
        <f>IF(D10&lt;29,"NHE HON KK","NANG HON KK")</f>
        <v>NANG HON KK</v>
      </c>
      <c r="Y10" t="str">
        <v>Tong Khoi theo tieu chi W1:W2</v>
      </c>
      <c r="Z10">
        <f>DSUM(A1:H13,"Khoi",W1:W2)</f>
        <v>66</v>
      </c>
    </row>
    <row r="11">
      <c r="A11" t="str">
        <v>MK10</v>
      </c>
      <c r="B11" t="str">
        <v>CH4</v>
      </c>
      <c r="C11">
        <v>62</v>
      </c>
      <c r="D11">
        <f>VLOOKUP(B11,$R$2:$S$6,2,FALSE)</f>
        <v>16</v>
      </c>
      <c r="E11">
        <f>ROUND(C11/D11,4)</f>
        <v>3.875</v>
      </c>
      <c r="F11">
        <f>ROUND(C11/D11*24.79,2)</f>
        <v>96.06</v>
      </c>
      <c r="G11">
        <f>ROUND(C11/D11*6.022,3)</f>
        <v>23.335</v>
      </c>
      <c r="H11" t="str">
        <f>IF(D11&lt;29,"NHE HON KK","NANG HON KK")</f>
        <v>NHE HON KK</v>
      </c>
      <c r="Y11" t="str">
        <v>So dong theo tieu chi W1:W2</v>
      </c>
      <c r="Z11">
        <f>DCOUNT(A1:H13,"Khoi",W1:W2)</f>
        <v>2</v>
      </c>
    </row>
    <row r="12">
      <c r="A12" t="str">
        <v>MK11</v>
      </c>
      <c r="B12" t="str">
        <v>CH4</v>
      </c>
      <c r="C12">
        <v>18</v>
      </c>
      <c r="D12">
        <f>VLOOKUP(B12,$R$2:$S$6,2,FALSE)</f>
        <v>16</v>
      </c>
      <c r="E12">
        <f>ROUND(C12/D12,4)</f>
        <v>1.125</v>
      </c>
      <c r="F12">
        <f>ROUND(C12/D12*24.79,2)</f>
        <v>27.89</v>
      </c>
      <c r="G12">
        <f>ROUND(C12/D12*6.022,3)</f>
        <v>6.775</v>
      </c>
      <c r="H12" t="str">
        <f>IF(D12&lt;29,"NHE HON KK","NANG HON KK")</f>
        <v>NHE HON KK</v>
      </c>
      <c r="Y12" t="str">
        <v>Tong Khoi khi Chat = O2 (SUMPRODUCT)</v>
      </c>
      <c r="Z12">
        <f>SUMPRODUCT((B2:B13="O2")*C2:C13)</f>
        <v>66</v>
      </c>
    </row>
    <row r="13">
      <c r="A13" t="str">
        <v>MK12</v>
      </c>
      <c r="B13" t="str">
        <v>CO2</v>
      </c>
      <c r="C13">
        <v>70</v>
      </c>
      <c r="D13">
        <f>VLOOKUP(B13,$R$2:$S$6,2,FALSE)</f>
        <v>44</v>
      </c>
      <c r="E13">
        <f>ROUND(C13/D13,4)</f>
        <v>1.5909</v>
      </c>
      <c r="F13">
        <f>ROUND(C13/D13*24.79,2)</f>
        <v>39.44</v>
      </c>
      <c r="G13">
        <f>ROUND(C13/D13*6.022,3)</f>
        <v>9.58</v>
      </c>
      <c r="H13" t="str">
        <f>IF(D13&lt;29,"NHE HON KK","NANG HON KK")</f>
        <v>NANG HON KK</v>
      </c>
      <c r="Y13" t="str">
        <v>Tong Khoi x M</v>
      </c>
      <c r="Z13">
        <f>SUMPRODUCT(C2:C13,D2:D13)</f>
        <v>10960</v>
      </c>
    </row>
  </sheetData>
  <ignoredErrors>
    <ignoredError numberStoredAsText="1" sqref="A1:Z13"/>
  </ignoredErrors>
</worksheet>
</file>

<file path=xl/worksheets/sheet11.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2</v>
      </c>
      <c r="C2">
        <f>'khtn8'!D2</f>
      </c>
      <c r="D2">
        <f>IF(ISERROR(C2),LEFT(B2&amp;"",1)="#",IF(ISNUMBER(C2),AND(ISNUMBER(B2),ABS(C2-B2)&lt;=0.000001*MAX(1,ABS(B2))),EXACT(C2&amp;"",B2&amp;"")))</f>
      </c>
      <c r="E2">
        <f>ISERROR(C2)</f>
      </c>
    </row>
    <row r="3">
      <c r="A3" t="str">
        <v>D3</v>
      </c>
      <c r="B3">
        <v>32</v>
      </c>
      <c r="C3">
        <f>'khtn8'!D3</f>
      </c>
      <c r="D3">
        <f>IF(ISERROR(C3),LEFT(B3&amp;"",1)="#",IF(ISNUMBER(C3),AND(ISNUMBER(B3),ABS(C3-B3)&lt;=0.000001*MAX(1,ABS(B3))),EXACT(C3&amp;"",B3&amp;"")))</f>
      </c>
      <c r="E3">
        <f>ISERROR(C3)</f>
      </c>
    </row>
    <row r="4">
      <c r="A4" t="str">
        <v>D4</v>
      </c>
      <c r="B4">
        <v>28</v>
      </c>
      <c r="C4">
        <f>'khtn8'!D4</f>
      </c>
      <c r="D4">
        <f>IF(ISERROR(C4),LEFT(B4&amp;"",1)="#",IF(ISNUMBER(C4),AND(ISNUMBER(B4),ABS(C4-B4)&lt;=0.000001*MAX(1,ABS(B4))),EXACT(C4&amp;"",B4&amp;"")))</f>
      </c>
      <c r="E4">
        <f>ISERROR(C4)</f>
      </c>
    </row>
    <row r="5">
      <c r="A5" t="str">
        <v>D5</v>
      </c>
      <c r="B5">
        <v>44</v>
      </c>
      <c r="C5">
        <f>'khtn8'!D5</f>
      </c>
      <c r="D5">
        <f>IF(ISERROR(C5),LEFT(B5&amp;"",1)="#",IF(ISNUMBER(C5),AND(ISNUMBER(B5),ABS(C5-B5)&lt;=0.000001*MAX(1,ABS(B5))),EXACT(C5&amp;"",B5&amp;"")))</f>
      </c>
      <c r="E5">
        <f>ISERROR(C5)</f>
      </c>
    </row>
    <row r="6">
      <c r="A6" t="str">
        <v>D6</v>
      </c>
      <c r="B6">
        <v>16</v>
      </c>
      <c r="C6">
        <f>'khtn8'!D6</f>
      </c>
      <c r="D6">
        <f>IF(ISERROR(C6),LEFT(B6&amp;"",1)="#",IF(ISNUMBER(C6),AND(ISNUMBER(B6),ABS(C6-B6)&lt;=0.000001*MAX(1,ABS(B6))),EXACT(C6&amp;"",B6&amp;"")))</f>
      </c>
      <c r="E6">
        <f>ISERROR(C6)</f>
      </c>
    </row>
    <row r="7">
      <c r="A7" t="str">
        <v>D7</v>
      </c>
      <c r="B7">
        <v>16</v>
      </c>
      <c r="C7">
        <f>'khtn8'!D7</f>
      </c>
      <c r="D7">
        <f>IF(ISERROR(C7),LEFT(B7&amp;"",1)="#",IF(ISNUMBER(C7),AND(ISNUMBER(B7),ABS(C7-B7)&lt;=0.000001*MAX(1,ABS(B7))),EXACT(C7&amp;"",B7&amp;"")))</f>
      </c>
      <c r="E7">
        <f>ISERROR(C7)</f>
      </c>
    </row>
    <row r="8">
      <c r="A8" t="str">
        <v>D8</v>
      </c>
      <c r="B8">
        <v>16</v>
      </c>
      <c r="C8">
        <f>'khtn8'!D8</f>
      </c>
      <c r="D8">
        <f>IF(ISERROR(C8),LEFT(B8&amp;"",1)="#",IF(ISNUMBER(C8),AND(ISNUMBER(B8),ABS(C8-B8)&lt;=0.000001*MAX(1,ABS(B8))),EXACT(C8&amp;"",B8&amp;"")))</f>
      </c>
      <c r="E8">
        <f>ISERROR(C8)</f>
      </c>
    </row>
    <row r="9">
      <c r="A9" t="str">
        <v>D9</v>
      </c>
      <c r="B9">
        <v>44</v>
      </c>
      <c r="C9">
        <f>'khtn8'!D9</f>
      </c>
      <c r="D9">
        <f>IF(ISERROR(C9),LEFT(B9&amp;"",1)="#",IF(ISNUMBER(C9),AND(ISNUMBER(B9),ABS(C9-B9)&lt;=0.000001*MAX(1,ABS(B9))),EXACT(C9&amp;"",B9&amp;"")))</f>
      </c>
      <c r="E9">
        <f>ISERROR(C9)</f>
      </c>
    </row>
    <row r="10">
      <c r="A10" t="str">
        <v>D10</v>
      </c>
      <c r="B10">
        <v>32</v>
      </c>
      <c r="C10">
        <f>'khtn8'!D10</f>
      </c>
      <c r="D10">
        <f>IF(ISERROR(C10),LEFT(B10&amp;"",1)="#",IF(ISNUMBER(C10),AND(ISNUMBER(B10),ABS(C10-B10)&lt;=0.000001*MAX(1,ABS(B10))),EXACT(C10&amp;"",B10&amp;"")))</f>
      </c>
      <c r="E10">
        <f>ISERROR(C10)</f>
      </c>
    </row>
    <row r="11">
      <c r="A11" t="str">
        <v>D11</v>
      </c>
      <c r="B11">
        <v>16</v>
      </c>
      <c r="C11">
        <f>'khtn8'!D11</f>
      </c>
      <c r="D11">
        <f>IF(ISERROR(C11),LEFT(B11&amp;"",1)="#",IF(ISNUMBER(C11),AND(ISNUMBER(B11),ABS(C11-B11)&lt;=0.000001*MAX(1,ABS(B11))),EXACT(C11&amp;"",B11&amp;"")))</f>
      </c>
      <c r="E11">
        <f>ISERROR(C11)</f>
      </c>
    </row>
    <row r="12">
      <c r="A12" t="str">
        <v>D12</v>
      </c>
      <c r="B12">
        <v>16</v>
      </c>
      <c r="C12">
        <f>'khtn8'!D12</f>
      </c>
      <c r="D12">
        <f>IF(ISERROR(C12),LEFT(B12&amp;"",1)="#",IF(ISNUMBER(C12),AND(ISNUMBER(B12),ABS(C12-B12)&lt;=0.000001*MAX(1,ABS(B12))),EXACT(C12&amp;"",B12&amp;"")))</f>
      </c>
      <c r="E12">
        <f>ISERROR(C12)</f>
      </c>
    </row>
    <row r="13">
      <c r="A13" t="str">
        <v>D13</v>
      </c>
      <c r="B13">
        <v>44</v>
      </c>
      <c r="C13">
        <f>'khtn8'!D13</f>
      </c>
      <c r="D13">
        <f>IF(ISERROR(C13),LEFT(B13&amp;"",1)="#",IF(ISNUMBER(C13),AND(ISNUMBER(B13),ABS(C13-B13)&lt;=0.000001*MAX(1,ABS(B13))),EXACT(C13&amp;"",B13&amp;"")))</f>
      </c>
      <c r="E13">
        <f>ISERROR(C13)</f>
      </c>
    </row>
    <row r="14">
      <c r="A14" t="str">
        <v>E2</v>
      </c>
      <c r="B14">
        <v>28</v>
      </c>
      <c r="C14">
        <f>'khtn8'!E2</f>
      </c>
      <c r="D14">
        <f>IF(ISERROR(C14),LEFT(B14&amp;"",1)="#",IF(ISNUMBER(C14),AND(ISNUMBER(B14),ABS(C14-B14)&lt;=0.000001*MAX(1,ABS(B14))),EXACT(C14&amp;"",B14&amp;"")))</f>
      </c>
      <c r="E14">
        <f>ISERROR(C14)</f>
      </c>
    </row>
    <row r="15">
      <c r="A15" t="str">
        <v>E3</v>
      </c>
      <c r="B15">
        <v>1.125</v>
      </c>
      <c r="C15">
        <f>'khtn8'!E3</f>
      </c>
      <c r="D15">
        <f>IF(ISERROR(C15),LEFT(B15&amp;"",1)="#",IF(ISNUMBER(C15),AND(ISNUMBER(B15),ABS(C15-B15)&lt;=0.000001*MAX(1,ABS(B15))),EXACT(C15&amp;"",B15&amp;"")))</f>
      </c>
      <c r="E15">
        <f>ISERROR(C15)</f>
      </c>
    </row>
    <row r="16">
      <c r="A16" t="str">
        <v>E4</v>
      </c>
      <c r="B16">
        <v>1.4286</v>
      </c>
      <c r="C16">
        <f>'khtn8'!E4</f>
      </c>
      <c r="D16">
        <f>IF(ISERROR(C16),LEFT(B16&amp;"",1)="#",IF(ISNUMBER(C16),AND(ISNUMBER(B16),ABS(C16-B16)&lt;=0.000001*MAX(1,ABS(B16))),EXACT(C16&amp;"",B16&amp;"")))</f>
      </c>
      <c r="E16">
        <f>ISERROR(C16)</f>
      </c>
    </row>
    <row r="17">
      <c r="A17" t="str">
        <v>E5</v>
      </c>
      <c r="B17">
        <v>0.1364</v>
      </c>
      <c r="C17">
        <f>'khtn8'!E5</f>
      </c>
      <c r="D17">
        <f>IF(ISERROR(C17),LEFT(B17&amp;"",1)="#",IF(ISNUMBER(C17),AND(ISNUMBER(B17),ABS(C17-B17)&lt;=0.000001*MAX(1,ABS(B17))),EXACT(C17&amp;"",B17&amp;"")))</f>
      </c>
      <c r="E17">
        <f>ISERROR(C17)</f>
      </c>
    </row>
    <row r="18">
      <c r="A18" t="str">
        <v>E6</v>
      </c>
      <c r="B18">
        <v>1</v>
      </c>
      <c r="C18">
        <f>'khtn8'!E6</f>
      </c>
      <c r="D18">
        <f>IF(ISERROR(C18),LEFT(B18&amp;"",1)="#",IF(ISNUMBER(C18),AND(ISNUMBER(B18),ABS(C18-B18)&lt;=0.000001*MAX(1,ABS(B18))),EXACT(C18&amp;"",B18&amp;"")))</f>
      </c>
      <c r="E18">
        <f>ISERROR(C18)</f>
      </c>
    </row>
    <row r="19">
      <c r="A19" t="str">
        <v>E7</v>
      </c>
      <c r="B19">
        <v>0.125</v>
      </c>
      <c r="C19">
        <f>'khtn8'!E7</f>
      </c>
      <c r="D19">
        <f>IF(ISERROR(C19),LEFT(B19&amp;"",1)="#",IF(ISNUMBER(C19),AND(ISNUMBER(B19),ABS(C19-B19)&lt;=0.000001*MAX(1,ABS(B19))),EXACT(C19&amp;"",B19&amp;"")))</f>
      </c>
      <c r="E19">
        <f>ISERROR(C19)</f>
      </c>
    </row>
    <row r="20">
      <c r="A20" t="str">
        <v>E8</v>
      </c>
      <c r="B20">
        <v>1.625</v>
      </c>
      <c r="C20">
        <f>'khtn8'!E8</f>
      </c>
      <c r="D20">
        <f>IF(ISERROR(C20),LEFT(B20&amp;"",1)="#",IF(ISNUMBER(C20),AND(ISNUMBER(B20),ABS(C20-B20)&lt;=0.000001*MAX(1,ABS(B20))),EXACT(C20&amp;"",B20&amp;"")))</f>
      </c>
      <c r="E20">
        <f>ISERROR(C20)</f>
      </c>
    </row>
    <row r="21">
      <c r="A21" t="str">
        <v>E9</v>
      </c>
      <c r="B21">
        <v>1.1818</v>
      </c>
      <c r="C21">
        <f>'khtn8'!E9</f>
      </c>
      <c r="D21">
        <f>IF(ISERROR(C21),LEFT(B21&amp;"",1)="#",IF(ISNUMBER(C21),AND(ISNUMBER(B21),ABS(C21-B21)&lt;=0.000001*MAX(1,ABS(B21))),EXACT(C21&amp;"",B21&amp;"")))</f>
      </c>
      <c r="E21">
        <f>ISERROR(C21)</f>
      </c>
    </row>
    <row r="22">
      <c r="A22" t="str">
        <v>E10</v>
      </c>
      <c r="B22">
        <v>0.9375</v>
      </c>
      <c r="C22">
        <f>'khtn8'!E10</f>
      </c>
      <c r="D22">
        <f>IF(ISERROR(C22),LEFT(B22&amp;"",1)="#",IF(ISNUMBER(C22),AND(ISNUMBER(B22),ABS(C22-B22)&lt;=0.000001*MAX(1,ABS(B22))),EXACT(C22&amp;"",B22&amp;"")))</f>
      </c>
      <c r="E22">
        <f>ISERROR(C22)</f>
      </c>
    </row>
    <row r="23">
      <c r="A23" t="str">
        <v>E11</v>
      </c>
      <c r="B23">
        <v>3.875</v>
      </c>
      <c r="C23">
        <f>'khtn8'!E11</f>
      </c>
      <c r="D23">
        <f>IF(ISERROR(C23),LEFT(B23&amp;"",1)="#",IF(ISNUMBER(C23),AND(ISNUMBER(B23),ABS(C23-B23)&lt;=0.000001*MAX(1,ABS(B23))),EXACT(C23&amp;"",B23&amp;"")))</f>
      </c>
      <c r="E23">
        <f>ISERROR(C23)</f>
      </c>
    </row>
    <row r="24">
      <c r="A24" t="str">
        <v>E12</v>
      </c>
      <c r="B24">
        <v>1.125</v>
      </c>
      <c r="C24">
        <f>'khtn8'!E12</f>
      </c>
      <c r="D24">
        <f>IF(ISERROR(C24),LEFT(B24&amp;"",1)="#",IF(ISNUMBER(C24),AND(ISNUMBER(B24),ABS(C24-B24)&lt;=0.000001*MAX(1,ABS(B24))),EXACT(C24&amp;"",B24&amp;"")))</f>
      </c>
      <c r="E24">
        <f>ISERROR(C24)</f>
      </c>
    </row>
    <row r="25">
      <c r="A25" t="str">
        <v>E13</v>
      </c>
      <c r="B25">
        <v>1.5909</v>
      </c>
      <c r="C25">
        <f>'khtn8'!E13</f>
      </c>
      <c r="D25">
        <f>IF(ISERROR(C25),LEFT(B25&amp;"",1)="#",IF(ISNUMBER(C25),AND(ISNUMBER(B25),ABS(C25-B25)&lt;=0.000001*MAX(1,ABS(B25))),EXACT(C25&amp;"",B25&amp;"")))</f>
      </c>
      <c r="E25">
        <f>ISERROR(C25)</f>
      </c>
    </row>
    <row r="26">
      <c r="A26" t="str">
        <v>F2</v>
      </c>
      <c r="B26">
        <v>694.12</v>
      </c>
      <c r="C26">
        <f>'khtn8'!F2</f>
      </c>
      <c r="D26">
        <f>IF(ISERROR(C26),LEFT(B26&amp;"",1)="#",IF(ISNUMBER(C26),AND(ISNUMBER(B26),ABS(C26-B26)&lt;=0.000001*MAX(1,ABS(B26))),EXACT(C26&amp;"",B26&amp;"")))</f>
      </c>
      <c r="E26">
        <f>ISERROR(C26)</f>
      </c>
    </row>
    <row r="27">
      <c r="A27" t="str">
        <v>F3</v>
      </c>
      <c r="B27">
        <v>27.89</v>
      </c>
      <c r="C27">
        <f>'khtn8'!F3</f>
      </c>
      <c r="D27">
        <f>IF(ISERROR(C27),LEFT(B27&amp;"",1)="#",IF(ISNUMBER(C27),AND(ISNUMBER(B27),ABS(C27-B27)&lt;=0.000001*MAX(1,ABS(B27))),EXACT(C27&amp;"",B27&amp;"")))</f>
      </c>
      <c r="E27">
        <f>ISERROR(C27)</f>
      </c>
    </row>
    <row r="28">
      <c r="A28" t="str">
        <v>F4</v>
      </c>
      <c r="B28">
        <v>35.41</v>
      </c>
      <c r="C28">
        <f>'khtn8'!F4</f>
      </c>
      <c r="D28">
        <f>IF(ISERROR(C28),LEFT(B28&amp;"",1)="#",IF(ISNUMBER(C28),AND(ISNUMBER(B28),ABS(C28-B28)&lt;=0.000001*MAX(1,ABS(B28))),EXACT(C28&amp;"",B28&amp;"")))</f>
      </c>
      <c r="E28">
        <f>ISERROR(C28)</f>
      </c>
    </row>
    <row r="29">
      <c r="A29" t="str">
        <v>F5</v>
      </c>
      <c r="B29">
        <v>3.38</v>
      </c>
      <c r="C29">
        <f>'khtn8'!F5</f>
      </c>
      <c r="D29">
        <f>IF(ISERROR(C29),LEFT(B29&amp;"",1)="#",IF(ISNUMBER(C29),AND(ISNUMBER(B29),ABS(C29-B29)&lt;=0.000001*MAX(1,ABS(B29))),EXACT(C29&amp;"",B29&amp;"")))</f>
      </c>
      <c r="E29">
        <f>ISERROR(C29)</f>
      </c>
    </row>
    <row r="30">
      <c r="A30" t="str">
        <v>F6</v>
      </c>
      <c r="B30">
        <v>24.79</v>
      </c>
      <c r="C30">
        <f>'khtn8'!F6</f>
      </c>
      <c r="D30">
        <f>IF(ISERROR(C30),LEFT(B30&amp;"",1)="#",IF(ISNUMBER(C30),AND(ISNUMBER(B30),ABS(C30-B30)&lt;=0.000001*MAX(1,ABS(B30))),EXACT(C30&amp;"",B30&amp;"")))</f>
      </c>
      <c r="E30">
        <f>ISERROR(C30)</f>
      </c>
    </row>
    <row r="31">
      <c r="A31" t="str">
        <v>F7</v>
      </c>
      <c r="B31">
        <v>3.1</v>
      </c>
      <c r="C31">
        <f>'khtn8'!F7</f>
      </c>
      <c r="D31">
        <f>IF(ISERROR(C31),LEFT(B31&amp;"",1)="#",IF(ISNUMBER(C31),AND(ISNUMBER(B31),ABS(C31-B31)&lt;=0.000001*MAX(1,ABS(B31))),EXACT(C31&amp;"",B31&amp;"")))</f>
      </c>
      <c r="E31">
        <f>ISERROR(C31)</f>
      </c>
    </row>
    <row r="32">
      <c r="A32" t="str">
        <v>F8</v>
      </c>
      <c r="B32">
        <v>40.28</v>
      </c>
      <c r="C32">
        <f>'khtn8'!F8</f>
      </c>
      <c r="D32">
        <f>IF(ISERROR(C32),LEFT(B32&amp;"",1)="#",IF(ISNUMBER(C32),AND(ISNUMBER(B32),ABS(C32-B32)&lt;=0.000001*MAX(1,ABS(B32))),EXACT(C32&amp;"",B32&amp;"")))</f>
      </c>
      <c r="E32">
        <f>ISERROR(C32)</f>
      </c>
    </row>
    <row r="33">
      <c r="A33" t="str">
        <v>F9</v>
      </c>
      <c r="B33">
        <v>29.3</v>
      </c>
      <c r="C33">
        <f>'khtn8'!F9</f>
      </c>
      <c r="D33">
        <f>IF(ISERROR(C33),LEFT(B33&amp;"",1)="#",IF(ISNUMBER(C33),AND(ISNUMBER(B33),ABS(C33-B33)&lt;=0.000001*MAX(1,ABS(B33))),EXACT(C33&amp;"",B33&amp;"")))</f>
      </c>
      <c r="E33">
        <f>ISERROR(C33)</f>
      </c>
    </row>
    <row r="34">
      <c r="A34" t="str">
        <v>F10</v>
      </c>
      <c r="B34">
        <v>23.24</v>
      </c>
      <c r="C34">
        <f>'khtn8'!F10</f>
      </c>
      <c r="D34">
        <f>IF(ISERROR(C34),LEFT(B34&amp;"",1)="#",IF(ISNUMBER(C34),AND(ISNUMBER(B34),ABS(C34-B34)&lt;=0.000001*MAX(1,ABS(B34))),EXACT(C34&amp;"",B34&amp;"")))</f>
      </c>
      <c r="E34">
        <f>ISERROR(C34)</f>
      </c>
    </row>
    <row r="35">
      <c r="A35" t="str">
        <v>F11</v>
      </c>
      <c r="B35">
        <v>96.06</v>
      </c>
      <c r="C35">
        <f>'khtn8'!F11</f>
      </c>
      <c r="D35">
        <f>IF(ISERROR(C35),LEFT(B35&amp;"",1)="#",IF(ISNUMBER(C35),AND(ISNUMBER(B35),ABS(C35-B35)&lt;=0.000001*MAX(1,ABS(B35))),EXACT(C35&amp;"",B35&amp;"")))</f>
      </c>
      <c r="E35">
        <f>ISERROR(C35)</f>
      </c>
    </row>
    <row r="36">
      <c r="A36" t="str">
        <v>F12</v>
      </c>
      <c r="B36">
        <v>27.89</v>
      </c>
      <c r="C36">
        <f>'khtn8'!F12</f>
      </c>
      <c r="D36">
        <f>IF(ISERROR(C36),LEFT(B36&amp;"",1)="#",IF(ISNUMBER(C36),AND(ISNUMBER(B36),ABS(C36-B36)&lt;=0.000001*MAX(1,ABS(B36))),EXACT(C36&amp;"",B36&amp;"")))</f>
      </c>
      <c r="E36">
        <f>ISERROR(C36)</f>
      </c>
    </row>
    <row r="37">
      <c r="A37" t="str">
        <v>F13</v>
      </c>
      <c r="B37">
        <v>39.44</v>
      </c>
      <c r="C37">
        <f>'khtn8'!F13</f>
      </c>
      <c r="D37">
        <f>IF(ISERROR(C37),LEFT(B37&amp;"",1)="#",IF(ISNUMBER(C37),AND(ISNUMBER(B37),ABS(C37-B37)&lt;=0.000001*MAX(1,ABS(B37))),EXACT(C37&amp;"",B37&amp;"")))</f>
      </c>
      <c r="E37">
        <f>ISERROR(C37)</f>
      </c>
    </row>
    <row r="38">
      <c r="A38" t="str">
        <v>G2</v>
      </c>
      <c r="B38">
        <v>168.616</v>
      </c>
      <c r="C38">
        <f>'khtn8'!G2</f>
      </c>
      <c r="D38">
        <f>IF(ISERROR(C38),LEFT(B38&amp;"",1)="#",IF(ISNUMBER(C38),AND(ISNUMBER(B38),ABS(C38-B38)&lt;=0.000001*MAX(1,ABS(B38))),EXACT(C38&amp;"",B38&amp;"")))</f>
      </c>
      <c r="E38">
        <f>ISERROR(C38)</f>
      </c>
    </row>
    <row r="39">
      <c r="A39" t="str">
        <v>G3</v>
      </c>
      <c r="B39">
        <v>6.775</v>
      </c>
      <c r="C39">
        <f>'khtn8'!G3</f>
      </c>
      <c r="D39">
        <f>IF(ISERROR(C39),LEFT(B39&amp;"",1)="#",IF(ISNUMBER(C39),AND(ISNUMBER(B39),ABS(C39-B39)&lt;=0.000001*MAX(1,ABS(B39))),EXACT(C39&amp;"",B39&amp;"")))</f>
      </c>
      <c r="E39">
        <f>ISERROR(C39)</f>
      </c>
    </row>
    <row r="40">
      <c r="A40" t="str">
        <v>G4</v>
      </c>
      <c r="B40">
        <v>8.603</v>
      </c>
      <c r="C40">
        <f>'khtn8'!G4</f>
      </c>
      <c r="D40">
        <f>IF(ISERROR(C40),LEFT(B40&amp;"",1)="#",IF(ISNUMBER(C40),AND(ISNUMBER(B40),ABS(C40-B40)&lt;=0.000001*MAX(1,ABS(B40))),EXACT(C40&amp;"",B40&amp;"")))</f>
      </c>
      <c r="E40">
        <f>ISERROR(C40)</f>
      </c>
    </row>
    <row r="41">
      <c r="A41" t="str">
        <v>G5</v>
      </c>
      <c r="B41">
        <v>0.821</v>
      </c>
      <c r="C41">
        <f>'khtn8'!G5</f>
      </c>
      <c r="D41">
        <f>IF(ISERROR(C41),LEFT(B41&amp;"",1)="#",IF(ISNUMBER(C41),AND(ISNUMBER(B41),ABS(C41-B41)&lt;=0.000001*MAX(1,ABS(B41))),EXACT(C41&amp;"",B41&amp;"")))</f>
      </c>
      <c r="E41">
        <f>ISERROR(C41)</f>
      </c>
    </row>
    <row r="42">
      <c r="A42" t="str">
        <v>G6</v>
      </c>
      <c r="B42">
        <v>6.022</v>
      </c>
      <c r="C42">
        <f>'khtn8'!G6</f>
      </c>
      <c r="D42">
        <f>IF(ISERROR(C42),LEFT(B42&amp;"",1)="#",IF(ISNUMBER(C42),AND(ISNUMBER(B42),ABS(C42-B42)&lt;=0.000001*MAX(1,ABS(B42))),EXACT(C42&amp;"",B42&amp;"")))</f>
      </c>
      <c r="E42">
        <f>ISERROR(C42)</f>
      </c>
    </row>
    <row r="43">
      <c r="A43" t="str">
        <v>G7</v>
      </c>
      <c r="B43">
        <v>0.753</v>
      </c>
      <c r="C43">
        <f>'khtn8'!G7</f>
      </c>
      <c r="D43">
        <f>IF(ISERROR(C43),LEFT(B43&amp;"",1)="#",IF(ISNUMBER(C43),AND(ISNUMBER(B43),ABS(C43-B43)&lt;=0.000001*MAX(1,ABS(B43))),EXACT(C43&amp;"",B43&amp;"")))</f>
      </c>
      <c r="E43">
        <f>ISERROR(C43)</f>
      </c>
    </row>
    <row r="44">
      <c r="A44" t="str">
        <v>G8</v>
      </c>
      <c r="B44">
        <v>9.786</v>
      </c>
      <c r="C44">
        <f>'khtn8'!G8</f>
      </c>
      <c r="D44">
        <f>IF(ISERROR(C44),LEFT(B44&amp;"",1)="#",IF(ISNUMBER(C44),AND(ISNUMBER(B44),ABS(C44-B44)&lt;=0.000001*MAX(1,ABS(B44))),EXACT(C44&amp;"",B44&amp;"")))</f>
      </c>
      <c r="E44">
        <f>ISERROR(C44)</f>
      </c>
    </row>
    <row r="45">
      <c r="A45" t="str">
        <v>G9</v>
      </c>
      <c r="B45">
        <v>7.117</v>
      </c>
      <c r="C45">
        <f>'khtn8'!G9</f>
      </c>
      <c r="D45">
        <f>IF(ISERROR(C45),LEFT(B45&amp;"",1)="#",IF(ISNUMBER(C45),AND(ISNUMBER(B45),ABS(C45-B45)&lt;=0.000001*MAX(1,ABS(B45))),EXACT(C45&amp;"",B45&amp;"")))</f>
      </c>
      <c r="E45">
        <f>ISERROR(C45)</f>
      </c>
    </row>
    <row r="46">
      <c r="A46" t="str">
        <v>G10</v>
      </c>
      <c r="B46">
        <v>5.646</v>
      </c>
      <c r="C46">
        <f>'khtn8'!G10</f>
      </c>
      <c r="D46">
        <f>IF(ISERROR(C46),LEFT(B46&amp;"",1)="#",IF(ISNUMBER(C46),AND(ISNUMBER(B46),ABS(C46-B46)&lt;=0.000001*MAX(1,ABS(B46))),EXACT(C46&amp;"",B46&amp;"")))</f>
      </c>
      <c r="E46">
        <f>ISERROR(C46)</f>
      </c>
    </row>
    <row r="47">
      <c r="A47" t="str">
        <v>G11</v>
      </c>
      <c r="B47">
        <v>23.335</v>
      </c>
      <c r="C47">
        <f>'khtn8'!G11</f>
      </c>
      <c r="D47">
        <f>IF(ISERROR(C47),LEFT(B47&amp;"",1)="#",IF(ISNUMBER(C47),AND(ISNUMBER(B47),ABS(C47-B47)&lt;=0.000001*MAX(1,ABS(B47))),EXACT(C47&amp;"",B47&amp;"")))</f>
      </c>
      <c r="E47">
        <f>ISERROR(C47)</f>
      </c>
    </row>
    <row r="48">
      <c r="A48" t="str">
        <v>G12</v>
      </c>
      <c r="B48">
        <v>6.775</v>
      </c>
      <c r="C48">
        <f>'khtn8'!G12</f>
      </c>
      <c r="D48">
        <f>IF(ISERROR(C48),LEFT(B48&amp;"",1)="#",IF(ISNUMBER(C48),AND(ISNUMBER(B48),ABS(C48-B48)&lt;=0.000001*MAX(1,ABS(B48))),EXACT(C48&amp;"",B48&amp;"")))</f>
      </c>
      <c r="E48">
        <f>ISERROR(C48)</f>
      </c>
    </row>
    <row r="49">
      <c r="A49" t="str">
        <v>G13</v>
      </c>
      <c r="B49">
        <v>9.58</v>
      </c>
      <c r="C49">
        <f>'khtn8'!G13</f>
      </c>
      <c r="D49">
        <f>IF(ISERROR(C49),LEFT(B49&amp;"",1)="#",IF(ISNUMBER(C49),AND(ISNUMBER(B49),ABS(C49-B49)&lt;=0.000001*MAX(1,ABS(B49))),EXACT(C49&amp;"",B49&amp;"")))</f>
      </c>
      <c r="E49">
        <f>ISERROR(C49)</f>
      </c>
    </row>
    <row r="50">
      <c r="A50" t="str">
        <v>H2</v>
      </c>
      <c r="B50" t="str">
        <v>NHE HON KK</v>
      </c>
      <c r="C50">
        <f>'khtn8'!H2</f>
      </c>
      <c r="D50">
        <f>IF(ISERROR(C50),LEFT(B50&amp;"",1)="#",IF(ISNUMBER(C50),AND(ISNUMBER(B50),ABS(C50-B50)&lt;=0.000001*MAX(1,ABS(B50))),EXACT(C50&amp;"",B50&amp;"")))</f>
      </c>
      <c r="E50">
        <f>ISERROR(C50)</f>
      </c>
    </row>
    <row r="51">
      <c r="A51" t="str">
        <v>H3</v>
      </c>
      <c r="B51" t="str">
        <v>NANG HON KK</v>
      </c>
      <c r="C51">
        <f>'khtn8'!H3</f>
      </c>
      <c r="D51">
        <f>IF(ISERROR(C51),LEFT(B51&amp;"",1)="#",IF(ISNUMBER(C51),AND(ISNUMBER(B51),ABS(C51-B51)&lt;=0.000001*MAX(1,ABS(B51))),EXACT(C51&amp;"",B51&amp;"")))</f>
      </c>
      <c r="E51">
        <f>ISERROR(C51)</f>
      </c>
    </row>
    <row r="52">
      <c r="A52" t="str">
        <v>H4</v>
      </c>
      <c r="B52" t="str">
        <v>NHE HON KK</v>
      </c>
      <c r="C52">
        <f>'khtn8'!H4</f>
      </c>
      <c r="D52">
        <f>IF(ISERROR(C52),LEFT(B52&amp;"",1)="#",IF(ISNUMBER(C52),AND(ISNUMBER(B52),ABS(C52-B52)&lt;=0.000001*MAX(1,ABS(B52))),EXACT(C52&amp;"",B52&amp;"")))</f>
      </c>
      <c r="E52">
        <f>ISERROR(C52)</f>
      </c>
    </row>
    <row r="53">
      <c r="A53" t="str">
        <v>H5</v>
      </c>
      <c r="B53" t="str">
        <v>NANG HON KK</v>
      </c>
      <c r="C53">
        <f>'khtn8'!H5</f>
      </c>
      <c r="D53">
        <f>IF(ISERROR(C53),LEFT(B53&amp;"",1)="#",IF(ISNUMBER(C53),AND(ISNUMBER(B53),ABS(C53-B53)&lt;=0.000001*MAX(1,ABS(B53))),EXACT(C53&amp;"",B53&amp;"")))</f>
      </c>
      <c r="E53">
        <f>ISERROR(C53)</f>
      </c>
    </row>
    <row r="54">
      <c r="A54" t="str">
        <v>H6</v>
      </c>
      <c r="B54" t="str">
        <v>NHE HON KK</v>
      </c>
      <c r="C54">
        <f>'khtn8'!H6</f>
      </c>
      <c r="D54">
        <f>IF(ISERROR(C54),LEFT(B54&amp;"",1)="#",IF(ISNUMBER(C54),AND(ISNUMBER(B54),ABS(C54-B54)&lt;=0.000001*MAX(1,ABS(B54))),EXACT(C54&amp;"",B54&amp;"")))</f>
      </c>
      <c r="E54">
        <f>ISERROR(C54)</f>
      </c>
    </row>
    <row r="55">
      <c r="A55" t="str">
        <v>H7</v>
      </c>
      <c r="B55" t="str">
        <v>NHE HON KK</v>
      </c>
      <c r="C55">
        <f>'khtn8'!H7</f>
      </c>
      <c r="D55">
        <f>IF(ISERROR(C55),LEFT(B55&amp;"",1)="#",IF(ISNUMBER(C55),AND(ISNUMBER(B55),ABS(C55-B55)&lt;=0.000001*MAX(1,ABS(B55))),EXACT(C55&amp;"",B55&amp;"")))</f>
      </c>
      <c r="E55">
        <f>ISERROR(C55)</f>
      </c>
    </row>
    <row r="56">
      <c r="A56" t="str">
        <v>H8</v>
      </c>
      <c r="B56" t="str">
        <v>NHE HON KK</v>
      </c>
      <c r="C56">
        <f>'khtn8'!H8</f>
      </c>
      <c r="D56">
        <f>IF(ISERROR(C56),LEFT(B56&amp;"",1)="#",IF(ISNUMBER(C56),AND(ISNUMBER(B56),ABS(C56-B56)&lt;=0.000001*MAX(1,ABS(B56))),EXACT(C56&amp;"",B56&amp;"")))</f>
      </c>
      <c r="E56">
        <f>ISERROR(C56)</f>
      </c>
    </row>
    <row r="57">
      <c r="A57" t="str">
        <v>H9</v>
      </c>
      <c r="B57" t="str">
        <v>NANG HON KK</v>
      </c>
      <c r="C57">
        <f>'khtn8'!H9</f>
      </c>
      <c r="D57">
        <f>IF(ISERROR(C57),LEFT(B57&amp;"",1)="#",IF(ISNUMBER(C57),AND(ISNUMBER(B57),ABS(C57-B57)&lt;=0.000001*MAX(1,ABS(B57))),EXACT(C57&amp;"",B57&amp;"")))</f>
      </c>
      <c r="E57">
        <f>ISERROR(C57)</f>
      </c>
    </row>
    <row r="58">
      <c r="A58" t="str">
        <v>H10</v>
      </c>
      <c r="B58" t="str">
        <v>NANG HON KK</v>
      </c>
      <c r="C58">
        <f>'khtn8'!H10</f>
      </c>
      <c r="D58">
        <f>IF(ISERROR(C58),LEFT(B58&amp;"",1)="#",IF(ISNUMBER(C58),AND(ISNUMBER(B58),ABS(C58-B58)&lt;=0.000001*MAX(1,ABS(B58))),EXACT(C58&amp;"",B58&amp;"")))</f>
      </c>
      <c r="E58">
        <f>ISERROR(C58)</f>
      </c>
    </row>
    <row r="59">
      <c r="A59" t="str">
        <v>H11</v>
      </c>
      <c r="B59" t="str">
        <v>NHE HON KK</v>
      </c>
      <c r="C59">
        <f>'khtn8'!H11</f>
      </c>
      <c r="D59">
        <f>IF(ISERROR(C59),LEFT(B59&amp;"",1)="#",IF(ISNUMBER(C59),AND(ISNUMBER(B59),ABS(C59-B59)&lt;=0.000001*MAX(1,ABS(B59))),EXACT(C59&amp;"",B59&amp;"")))</f>
      </c>
      <c r="E59">
        <f>ISERROR(C59)</f>
      </c>
    </row>
    <row r="60">
      <c r="A60" t="str">
        <v>H12</v>
      </c>
      <c r="B60" t="str">
        <v>NHE HON KK</v>
      </c>
      <c r="C60">
        <f>'khtn8'!H12</f>
      </c>
      <c r="D60">
        <f>IF(ISERROR(C60),LEFT(B60&amp;"",1)="#",IF(ISNUMBER(C60),AND(ISNUMBER(B60),ABS(C60-B60)&lt;=0.000001*MAX(1,ABS(B60))),EXACT(C60&amp;"",B60&amp;"")))</f>
      </c>
      <c r="E60">
        <f>ISERROR(C60)</f>
      </c>
    </row>
    <row r="61">
      <c r="A61" t="str">
        <v>H13</v>
      </c>
      <c r="B61" t="str">
        <v>NANG HON KK</v>
      </c>
      <c r="C61">
        <f>'khtn8'!H13</f>
      </c>
      <c r="D61">
        <f>IF(ISERROR(C61),LEFT(B61&amp;"",1)="#",IF(ISNUMBER(C61),AND(ISNUMBER(B61),ABS(C61-B61)&lt;=0.000001*MAX(1,ABS(B61))),EXACT(C61&amp;"",B61&amp;"")))</f>
      </c>
      <c r="E61">
        <f>ISERROR(C61)</f>
      </c>
    </row>
    <row r="62">
      <c r="A62" t="str">
        <v>Z2</v>
      </c>
      <c r="B62" t="str">
        <v>MK01</v>
      </c>
      <c r="C62">
        <f>'khtn8'!Z2</f>
      </c>
      <c r="D62">
        <f>IF(ISERROR(C62),LEFT(B62&amp;"",1)="#",IF(ISNUMBER(C62),AND(ISNUMBER(B62),ABS(C62-B62)&lt;=0.000001*MAX(1,ABS(B62))),EXACT(C62&amp;"",B62&amp;"")))</f>
      </c>
      <c r="E62">
        <f>ISERROR(C62)</f>
      </c>
    </row>
    <row r="63">
      <c r="A63" t="str">
        <v>Z3</v>
      </c>
      <c r="B63">
        <v>66</v>
      </c>
      <c r="C63">
        <f>'khtn8'!Z3</f>
      </c>
      <c r="D63">
        <f>IF(ISERROR(C63),LEFT(B63&amp;"",1)="#",IF(ISNUMBER(C63),AND(ISNUMBER(B63),ABS(C63-B63)&lt;=0.000001*MAX(1,ABS(B63))),EXACT(C63&amp;"",B63&amp;"")))</f>
      </c>
      <c r="E63">
        <f>ISERROR(C63)</f>
      </c>
    </row>
    <row r="64">
      <c r="A64" t="str">
        <v>Z4</v>
      </c>
      <c r="B64">
        <v>2</v>
      </c>
      <c r="C64">
        <f>'khtn8'!Z4</f>
      </c>
      <c r="D64">
        <f>IF(ISERROR(C64),LEFT(B64&amp;"",1)="#",IF(ISNUMBER(C64),AND(ISNUMBER(B64),ABS(C64-B64)&lt;=0.000001*MAX(1,ABS(B64))),EXACT(C64&amp;"",B64&amp;"")))</f>
      </c>
      <c r="E64">
        <f>ISERROR(C64)</f>
      </c>
    </row>
    <row r="65">
      <c r="A65" t="str">
        <v>Z5</v>
      </c>
      <c r="B65">
        <v>35.41</v>
      </c>
      <c r="C65">
        <f>'khtn8'!Z5</f>
      </c>
      <c r="D65">
        <f>IF(ISERROR(C65),LEFT(B65&amp;"",1)="#",IF(ISNUMBER(C65),AND(ISNUMBER(B65),ABS(C65-B65)&lt;=0.000001*MAX(1,ABS(B65))),EXACT(C65&amp;"",B65&amp;"")))</f>
      </c>
      <c r="E65">
        <f>ISERROR(C65)</f>
      </c>
    </row>
    <row r="66">
      <c r="A66" t="str">
        <v>Z6</v>
      </c>
      <c r="B66">
        <v>28</v>
      </c>
      <c r="C66">
        <f>'khtn8'!Z6</f>
      </c>
      <c r="D66">
        <f>IF(ISERROR(C66),LEFT(B66&amp;"",1)="#",IF(ISNUMBER(C66),AND(ISNUMBER(B66),ABS(C66-B66)&lt;=0.000001*MAX(1,ABS(B66))),EXACT(C66&amp;"",B66&amp;"")))</f>
      </c>
      <c r="E66">
        <f>ISERROR(C66)</f>
      </c>
    </row>
    <row r="67">
      <c r="A67" t="str">
        <v>Z7</v>
      </c>
      <c r="B67">
        <v>28.595</v>
      </c>
      <c r="C67">
        <f>'khtn8'!Z7</f>
      </c>
      <c r="D67">
        <f>IF(ISERROR(C67),LEFT(B67&amp;"",1)="#",IF(ISNUMBER(C67),AND(ISNUMBER(B67),ABS(C67-B67)&lt;=0.000001*MAX(1,ABS(B67))),EXACT(C67&amp;"",B67&amp;"")))</f>
      </c>
      <c r="E67">
        <f>ISERROR(C67)</f>
      </c>
    </row>
    <row r="68">
      <c r="A68" t="str">
        <v>Z8</v>
      </c>
      <c r="B68">
        <v>96.06</v>
      </c>
      <c r="C68">
        <f>'khtn8'!Z8</f>
      </c>
      <c r="D68">
        <f>IF(ISERROR(C68),LEFT(B68&amp;"",1)="#",IF(ISNUMBER(C68),AND(ISNUMBER(B68),ABS(C68-B68)&lt;=0.000001*MAX(1,ABS(B68))),EXACT(C68&amp;"",B68&amp;"")))</f>
      </c>
      <c r="E68">
        <f>ISERROR(C68)</f>
      </c>
    </row>
    <row r="69">
      <c r="A69" t="str">
        <v>Z9</v>
      </c>
      <c r="B69">
        <v>7.769</v>
      </c>
      <c r="C69">
        <f>'khtn8'!Z9</f>
      </c>
      <c r="D69">
        <f>IF(ISERROR(C69),LEFT(B69&amp;"",1)="#",IF(ISNUMBER(C69),AND(ISNUMBER(B69),ABS(C69-B69)&lt;=0.000001*MAX(1,ABS(B69))),EXACT(C69&amp;"",B69&amp;"")))</f>
      </c>
      <c r="E69">
        <f>ISERROR(C69)</f>
      </c>
    </row>
    <row r="70">
      <c r="A70" t="str">
        <v>Z10</v>
      </c>
      <c r="B70">
        <v>66</v>
      </c>
      <c r="C70">
        <f>'khtn8'!Z10</f>
      </c>
      <c r="D70">
        <f>IF(ISERROR(C70),LEFT(B70&amp;"",1)="#",IF(ISNUMBER(C70),AND(ISNUMBER(B70),ABS(C70-B70)&lt;=0.000001*MAX(1,ABS(B70))),EXACT(C70&amp;"",B70&amp;"")))</f>
      </c>
      <c r="E70">
        <f>ISERROR(C70)</f>
      </c>
    </row>
    <row r="71">
      <c r="A71" t="str">
        <v>Z11</v>
      </c>
      <c r="B71">
        <v>2</v>
      </c>
      <c r="C71">
        <f>'khtn8'!Z11</f>
      </c>
      <c r="D71">
        <f>IF(ISERROR(C71),LEFT(B71&amp;"",1)="#",IF(ISNUMBER(C71),AND(ISNUMBER(B71),ABS(C71-B71)&lt;=0.000001*MAX(1,ABS(B71))),EXACT(C71&amp;"",B71&amp;"")))</f>
      </c>
      <c r="E71">
        <f>ISERROR(C71)</f>
      </c>
    </row>
    <row r="72">
      <c r="A72" t="str">
        <v>Z12</v>
      </c>
      <c r="B72">
        <v>66</v>
      </c>
      <c r="C72">
        <f>'khtn8'!Z12</f>
      </c>
      <c r="D72">
        <f>IF(ISERROR(C72),LEFT(B72&amp;"",1)="#",IF(ISNUMBER(C72),AND(ISNUMBER(B72),ABS(C72-B72)&lt;=0.000001*MAX(1,ABS(B72))),EXACT(C72&amp;"",B72&amp;"")))</f>
      </c>
      <c r="E72">
        <f>ISERROR(C72)</f>
      </c>
    </row>
    <row r="73">
      <c r="A73" t="str">
        <v>Z13</v>
      </c>
      <c r="B73">
        <v>10960</v>
      </c>
      <c r="C73">
        <f>'khtn8'!Z13</f>
      </c>
      <c r="D73">
        <f>IF(ISERROR(C73),LEFT(B73&amp;"",1)="#",IF(ISNUMBER(C73),AND(ISNUMBER(B73),ABS(C73-B73)&lt;=0.000001*MAX(1,ABS(B73))),EXACT(C73&amp;"",B73&amp;"")))</f>
      </c>
      <c r="E73">
        <f>ISERROR(C73)</f>
      </c>
    </row>
  </sheetData>
  <ignoredErrors>
    <ignoredError numberStoredAsText="1" sqref="A1:E73"/>
  </ignoredErrors>
</worksheet>
</file>

<file path=xl/worksheets/sheet1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MaHang</v>
      </c>
      <c r="B1" t="str">
        <v>SoLuong</v>
      </c>
      <c r="C1" t="str">
        <v>DonGia</v>
      </c>
      <c r="D1" t="str">
        <v>ThanhTien</v>
      </c>
      <c r="E1" t="str">
        <v>TienVAT</v>
      </c>
      <c r="F1" t="str">
        <v>TongCong</v>
      </c>
      <c r="G1" t="str">
        <v>TyLe</v>
      </c>
      <c r="T1" t="str">
        <v>VAT</v>
      </c>
      <c r="U1">
        <v>0.08</v>
      </c>
      <c r="Y1" t="str">
        <v>TongHop</v>
      </c>
      <c r="Z1" t="str">
        <v>KetQua</v>
      </c>
    </row>
    <row r="2">
      <c r="A2" t="str">
        <v>MH01</v>
      </c>
      <c r="B2">
        <v>21</v>
      </c>
      <c r="C2">
        <v>37000</v>
      </c>
      <c r="D2">
        <f>B2*C2</f>
        <v>777000</v>
      </c>
      <c r="E2">
        <f>ROUND(D2*$U$1,0)</f>
        <v>62160</v>
      </c>
      <c r="F2">
        <f>D2+E2</f>
        <v>839160</v>
      </c>
      <c r="G2">
        <f>ROUND(D2/SUM($D$2:$D$13),4)</f>
        <v>0.0943</v>
      </c>
      <c r="Y2" t="str">
        <v>Tong ThanhTien</v>
      </c>
      <c r="Z2">
        <f>SUM(D2:D13)</f>
        <v>8238000</v>
      </c>
    </row>
    <row r="3">
      <c r="A3" t="str">
        <v>MH02</v>
      </c>
      <c r="B3">
        <v>15</v>
      </c>
      <c r="C3">
        <v>8000</v>
      </c>
      <c r="D3">
        <f>B3*C3</f>
        <v>120000</v>
      </c>
      <c r="E3">
        <f>ROUND(D3*$U$1,0)</f>
        <v>9600</v>
      </c>
      <c r="F3">
        <f>D3+E3</f>
        <v>129600</v>
      </c>
      <c r="G3">
        <f>ROUND(D3/SUM($D$2:$D$13),4)</f>
        <v>0.0146</v>
      </c>
      <c r="Y3" t="str">
        <v>Tong TongCong</v>
      </c>
      <c r="Z3">
        <f>SUM(F2:F13)</f>
        <v>8897040</v>
      </c>
    </row>
    <row r="4">
      <c r="A4" t="str">
        <v>MH03</v>
      </c>
      <c r="B4">
        <v>6</v>
      </c>
      <c r="C4">
        <v>71000</v>
      </c>
      <c r="D4">
        <f>B4*C4</f>
        <v>426000</v>
      </c>
      <c r="E4">
        <f>ROUND(D4*$U$1,0)</f>
        <v>34080</v>
      </c>
      <c r="F4">
        <f>D4+E4</f>
        <v>460080</v>
      </c>
      <c r="G4">
        <f>ROUND(D4/SUM($D$2:$D$13),4)</f>
        <v>0.0517</v>
      </c>
      <c r="Y4" t="str">
        <v>TongCong lon nhat</v>
      </c>
      <c r="Z4">
        <f>MAX(F2:F13)</f>
        <v>2207520</v>
      </c>
    </row>
    <row r="5">
      <c r="A5" t="str">
        <v>MH04</v>
      </c>
      <c r="B5">
        <v>1</v>
      </c>
      <c r="C5">
        <v>72000</v>
      </c>
      <c r="D5">
        <f>B5*C5</f>
        <v>72000</v>
      </c>
      <c r="E5">
        <f>ROUND(D5*$U$1,0)</f>
        <v>5760</v>
      </c>
      <c r="F5">
        <f>D5+E5</f>
        <v>77760</v>
      </c>
      <c r="G5">
        <f>ROUND(D5/SUM($D$2:$D$13),4)</f>
        <v>0.0087</v>
      </c>
      <c r="Y5" t="str">
        <v>ThanhTien nho nhat</v>
      </c>
      <c r="Z5">
        <f>MIN(D2:D13)</f>
        <v>72000</v>
      </c>
    </row>
    <row r="6">
      <c r="A6" t="str">
        <v>MH05</v>
      </c>
      <c r="B6">
        <v>10</v>
      </c>
      <c r="C6">
        <v>59000</v>
      </c>
      <c r="D6">
        <f>B6*C6</f>
        <v>590000</v>
      </c>
      <c r="E6">
        <f>ROUND(D6*$U$1,0)</f>
        <v>47200</v>
      </c>
      <c r="F6">
        <f>D6+E6</f>
        <v>637200</v>
      </c>
      <c r="G6">
        <f>ROUND(D6/SUM($D$2:$D$13),4)</f>
        <v>0.0716</v>
      </c>
      <c r="Y6" t="str">
        <v>SoLuong trung binh</v>
      </c>
      <c r="Z6">
        <f>ROUND(AVERAGE(B2:B13),2)</f>
        <v>14.58</v>
      </c>
    </row>
    <row r="7">
      <c r="A7" t="str">
        <v>MH06</v>
      </c>
      <c r="B7">
        <v>20</v>
      </c>
      <c r="C7">
        <v>28000</v>
      </c>
      <c r="D7">
        <f>B7*C7</f>
        <v>560000</v>
      </c>
      <c r="E7">
        <f>ROUND(D7*$U$1,0)</f>
        <v>44800</v>
      </c>
      <c r="F7">
        <f>D7+E7</f>
        <v>604800</v>
      </c>
      <c r="G7">
        <f>ROUND(D7/SUM($D$2:$D$13),4)</f>
        <v>0.068</v>
      </c>
      <c r="Y7" t="str">
        <v>So mat hang</v>
      </c>
      <c r="Z7">
        <f>COUNT(C2:C13)</f>
        <v>12</v>
      </c>
    </row>
    <row r="8">
      <c r="A8" t="str">
        <v>MH07</v>
      </c>
      <c r="B8">
        <v>11</v>
      </c>
      <c r="C8">
        <v>68000</v>
      </c>
      <c r="D8">
        <f>B8*C8</f>
        <v>748000</v>
      </c>
      <c r="E8">
        <f>ROUND(D8*$U$1,0)</f>
        <v>59840</v>
      </c>
      <c r="F8">
        <f>D8+E8</f>
        <v>807840</v>
      </c>
      <c r="G8">
        <f>ROUND(D8/SUM($D$2:$D$13),4)</f>
        <v>0.0908</v>
      </c>
    </row>
    <row r="9">
      <c r="A9" t="str">
        <v>MH08</v>
      </c>
      <c r="B9">
        <v>23</v>
      </c>
      <c r="C9">
        <v>69000</v>
      </c>
      <c r="D9">
        <f>B9*C9</f>
        <v>1587000</v>
      </c>
      <c r="E9">
        <f>ROUND(D9*$U$1,0)</f>
        <v>126960</v>
      </c>
      <c r="F9">
        <f>D9+E9</f>
        <v>1713960</v>
      </c>
      <c r="G9">
        <f>ROUND(D9/SUM($D$2:$D$13),4)</f>
        <v>0.1926</v>
      </c>
    </row>
    <row r="10">
      <c r="A10" t="str">
        <v>MH09</v>
      </c>
      <c r="B10">
        <v>7</v>
      </c>
      <c r="C10">
        <v>65000</v>
      </c>
      <c r="D10">
        <f>B10*C10</f>
        <v>455000</v>
      </c>
      <c r="E10">
        <f>ROUND(D10*$U$1,0)</f>
        <v>36400</v>
      </c>
      <c r="F10">
        <f>D10+E10</f>
        <v>491400</v>
      </c>
      <c r="G10">
        <f>ROUND(D10/SUM($D$2:$D$13),4)</f>
        <v>0.0552</v>
      </c>
    </row>
    <row r="11">
      <c r="A11" t="str">
        <v>MH10</v>
      </c>
      <c r="B11">
        <v>26</v>
      </c>
      <c r="C11">
        <v>22000</v>
      </c>
      <c r="D11">
        <f>B11*C11</f>
        <v>572000</v>
      </c>
      <c r="E11">
        <f>ROUND(D11*$U$1,0)</f>
        <v>45760</v>
      </c>
      <c r="F11">
        <f>D11+E11</f>
        <v>617760</v>
      </c>
      <c r="G11">
        <f>ROUND(D11/SUM($D$2:$D$13),4)</f>
        <v>0.0694</v>
      </c>
    </row>
    <row r="12">
      <c r="A12" t="str">
        <v>MH11</v>
      </c>
      <c r="B12">
        <v>28</v>
      </c>
      <c r="C12">
        <v>73000</v>
      </c>
      <c r="D12">
        <f>B12*C12</f>
        <v>2044000</v>
      </c>
      <c r="E12">
        <f>ROUND(D12*$U$1,0)</f>
        <v>163520</v>
      </c>
      <c r="F12">
        <f>D12+E12</f>
        <v>2207520</v>
      </c>
      <c r="G12">
        <f>ROUND(D12/SUM($D$2:$D$13),4)</f>
        <v>0.2481</v>
      </c>
    </row>
    <row r="13">
      <c r="A13" t="str">
        <v>MH12</v>
      </c>
      <c r="B13">
        <v>7</v>
      </c>
      <c r="C13">
        <v>41000</v>
      </c>
      <c r="D13">
        <f>B13*C13</f>
        <v>287000</v>
      </c>
      <c r="E13">
        <f>ROUND(D13*$U$1,0)</f>
        <v>22960</v>
      </c>
      <c r="F13">
        <f>D13+E13</f>
        <v>309960</v>
      </c>
      <c r="G13">
        <f>ROUND(D13/SUM($D$2:$D$13),4)</f>
        <v>0.0348</v>
      </c>
    </row>
  </sheetData>
  <ignoredErrors>
    <ignoredError numberStoredAsText="1" sqref="A1:Z13"/>
  </ignoredErrors>
</worksheet>
</file>

<file path=xl/worksheets/sheet13.xml><?xml version="1.0" encoding="utf-8"?>
<worksheet xmlns="http://schemas.openxmlformats.org/spreadsheetml/2006/main" xmlns:r="http://schemas.openxmlformats.org/officeDocument/2006/relationships">
  <dimension ref="A1:E55"/>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777000</v>
      </c>
      <c r="C2">
        <f>'tin8'!D2</f>
      </c>
      <c r="D2">
        <f>IF(ISERROR(C2),LEFT(B2&amp;"",1)="#",IF(ISNUMBER(C2),AND(ISNUMBER(B2),ABS(C2-B2)&lt;=0.000001*MAX(1,ABS(B2))),EXACT(C2&amp;"",B2&amp;"")))</f>
      </c>
      <c r="E2">
        <f>ISERROR(C2)</f>
      </c>
    </row>
    <row r="3">
      <c r="A3" t="str">
        <v>D3</v>
      </c>
      <c r="B3">
        <v>120000</v>
      </c>
      <c r="C3">
        <f>'tin8'!D3</f>
      </c>
      <c r="D3">
        <f>IF(ISERROR(C3),LEFT(B3&amp;"",1)="#",IF(ISNUMBER(C3),AND(ISNUMBER(B3),ABS(C3-B3)&lt;=0.000001*MAX(1,ABS(B3))),EXACT(C3&amp;"",B3&amp;"")))</f>
      </c>
      <c r="E3">
        <f>ISERROR(C3)</f>
      </c>
    </row>
    <row r="4">
      <c r="A4" t="str">
        <v>D4</v>
      </c>
      <c r="B4">
        <v>426000</v>
      </c>
      <c r="C4">
        <f>'tin8'!D4</f>
      </c>
      <c r="D4">
        <f>IF(ISERROR(C4),LEFT(B4&amp;"",1)="#",IF(ISNUMBER(C4),AND(ISNUMBER(B4),ABS(C4-B4)&lt;=0.000001*MAX(1,ABS(B4))),EXACT(C4&amp;"",B4&amp;"")))</f>
      </c>
      <c r="E4">
        <f>ISERROR(C4)</f>
      </c>
    </row>
    <row r="5">
      <c r="A5" t="str">
        <v>D5</v>
      </c>
      <c r="B5">
        <v>72000</v>
      </c>
      <c r="C5">
        <f>'tin8'!D5</f>
      </c>
      <c r="D5">
        <f>IF(ISERROR(C5),LEFT(B5&amp;"",1)="#",IF(ISNUMBER(C5),AND(ISNUMBER(B5),ABS(C5-B5)&lt;=0.000001*MAX(1,ABS(B5))),EXACT(C5&amp;"",B5&amp;"")))</f>
      </c>
      <c r="E5">
        <f>ISERROR(C5)</f>
      </c>
    </row>
    <row r="6">
      <c r="A6" t="str">
        <v>D6</v>
      </c>
      <c r="B6">
        <v>590000</v>
      </c>
      <c r="C6">
        <f>'tin8'!D6</f>
      </c>
      <c r="D6">
        <f>IF(ISERROR(C6),LEFT(B6&amp;"",1)="#",IF(ISNUMBER(C6),AND(ISNUMBER(B6),ABS(C6-B6)&lt;=0.000001*MAX(1,ABS(B6))),EXACT(C6&amp;"",B6&amp;"")))</f>
      </c>
      <c r="E6">
        <f>ISERROR(C6)</f>
      </c>
    </row>
    <row r="7">
      <c r="A7" t="str">
        <v>D7</v>
      </c>
      <c r="B7">
        <v>560000</v>
      </c>
      <c r="C7">
        <f>'tin8'!D7</f>
      </c>
      <c r="D7">
        <f>IF(ISERROR(C7),LEFT(B7&amp;"",1)="#",IF(ISNUMBER(C7),AND(ISNUMBER(B7),ABS(C7-B7)&lt;=0.000001*MAX(1,ABS(B7))),EXACT(C7&amp;"",B7&amp;"")))</f>
      </c>
      <c r="E7">
        <f>ISERROR(C7)</f>
      </c>
    </row>
    <row r="8">
      <c r="A8" t="str">
        <v>D8</v>
      </c>
      <c r="B8">
        <v>748000</v>
      </c>
      <c r="C8">
        <f>'tin8'!D8</f>
      </c>
      <c r="D8">
        <f>IF(ISERROR(C8),LEFT(B8&amp;"",1)="#",IF(ISNUMBER(C8),AND(ISNUMBER(B8),ABS(C8-B8)&lt;=0.000001*MAX(1,ABS(B8))),EXACT(C8&amp;"",B8&amp;"")))</f>
      </c>
      <c r="E8">
        <f>ISERROR(C8)</f>
      </c>
    </row>
    <row r="9">
      <c r="A9" t="str">
        <v>D9</v>
      </c>
      <c r="B9">
        <v>1587000</v>
      </c>
      <c r="C9">
        <f>'tin8'!D9</f>
      </c>
      <c r="D9">
        <f>IF(ISERROR(C9),LEFT(B9&amp;"",1)="#",IF(ISNUMBER(C9),AND(ISNUMBER(B9),ABS(C9-B9)&lt;=0.000001*MAX(1,ABS(B9))),EXACT(C9&amp;"",B9&amp;"")))</f>
      </c>
      <c r="E9">
        <f>ISERROR(C9)</f>
      </c>
    </row>
    <row r="10">
      <c r="A10" t="str">
        <v>D10</v>
      </c>
      <c r="B10">
        <v>455000</v>
      </c>
      <c r="C10">
        <f>'tin8'!D10</f>
      </c>
      <c r="D10">
        <f>IF(ISERROR(C10),LEFT(B10&amp;"",1)="#",IF(ISNUMBER(C10),AND(ISNUMBER(B10),ABS(C10-B10)&lt;=0.000001*MAX(1,ABS(B10))),EXACT(C10&amp;"",B10&amp;"")))</f>
      </c>
      <c r="E10">
        <f>ISERROR(C10)</f>
      </c>
    </row>
    <row r="11">
      <c r="A11" t="str">
        <v>D11</v>
      </c>
      <c r="B11">
        <v>572000</v>
      </c>
      <c r="C11">
        <f>'tin8'!D11</f>
      </c>
      <c r="D11">
        <f>IF(ISERROR(C11),LEFT(B11&amp;"",1)="#",IF(ISNUMBER(C11),AND(ISNUMBER(B11),ABS(C11-B11)&lt;=0.000001*MAX(1,ABS(B11))),EXACT(C11&amp;"",B11&amp;"")))</f>
      </c>
      <c r="E11">
        <f>ISERROR(C11)</f>
      </c>
    </row>
    <row r="12">
      <c r="A12" t="str">
        <v>D12</v>
      </c>
      <c r="B12">
        <v>2044000</v>
      </c>
      <c r="C12">
        <f>'tin8'!D12</f>
      </c>
      <c r="D12">
        <f>IF(ISERROR(C12),LEFT(B12&amp;"",1)="#",IF(ISNUMBER(C12),AND(ISNUMBER(B12),ABS(C12-B12)&lt;=0.000001*MAX(1,ABS(B12))),EXACT(C12&amp;"",B12&amp;"")))</f>
      </c>
      <c r="E12">
        <f>ISERROR(C12)</f>
      </c>
    </row>
    <row r="13">
      <c r="A13" t="str">
        <v>D13</v>
      </c>
      <c r="B13">
        <v>287000</v>
      </c>
      <c r="C13">
        <f>'tin8'!D13</f>
      </c>
      <c r="D13">
        <f>IF(ISERROR(C13),LEFT(B13&amp;"",1)="#",IF(ISNUMBER(C13),AND(ISNUMBER(B13),ABS(C13-B13)&lt;=0.000001*MAX(1,ABS(B13))),EXACT(C13&amp;"",B13&amp;"")))</f>
      </c>
      <c r="E13">
        <f>ISERROR(C13)</f>
      </c>
    </row>
    <row r="14">
      <c r="A14" t="str">
        <v>E2</v>
      </c>
      <c r="B14">
        <v>62160</v>
      </c>
      <c r="C14">
        <f>'tin8'!E2</f>
      </c>
      <c r="D14">
        <f>IF(ISERROR(C14),LEFT(B14&amp;"",1)="#",IF(ISNUMBER(C14),AND(ISNUMBER(B14),ABS(C14-B14)&lt;=0.000001*MAX(1,ABS(B14))),EXACT(C14&amp;"",B14&amp;"")))</f>
      </c>
      <c r="E14">
        <f>ISERROR(C14)</f>
      </c>
    </row>
    <row r="15">
      <c r="A15" t="str">
        <v>E3</v>
      </c>
      <c r="B15">
        <v>9600</v>
      </c>
      <c r="C15">
        <f>'tin8'!E3</f>
      </c>
      <c r="D15">
        <f>IF(ISERROR(C15),LEFT(B15&amp;"",1)="#",IF(ISNUMBER(C15),AND(ISNUMBER(B15),ABS(C15-B15)&lt;=0.000001*MAX(1,ABS(B15))),EXACT(C15&amp;"",B15&amp;"")))</f>
      </c>
      <c r="E15">
        <f>ISERROR(C15)</f>
      </c>
    </row>
    <row r="16">
      <c r="A16" t="str">
        <v>E4</v>
      </c>
      <c r="B16">
        <v>34080</v>
      </c>
      <c r="C16">
        <f>'tin8'!E4</f>
      </c>
      <c r="D16">
        <f>IF(ISERROR(C16),LEFT(B16&amp;"",1)="#",IF(ISNUMBER(C16),AND(ISNUMBER(B16),ABS(C16-B16)&lt;=0.000001*MAX(1,ABS(B16))),EXACT(C16&amp;"",B16&amp;"")))</f>
      </c>
      <c r="E16">
        <f>ISERROR(C16)</f>
      </c>
    </row>
    <row r="17">
      <c r="A17" t="str">
        <v>E5</v>
      </c>
      <c r="B17">
        <v>5760</v>
      </c>
      <c r="C17">
        <f>'tin8'!E5</f>
      </c>
      <c r="D17">
        <f>IF(ISERROR(C17),LEFT(B17&amp;"",1)="#",IF(ISNUMBER(C17),AND(ISNUMBER(B17),ABS(C17-B17)&lt;=0.000001*MAX(1,ABS(B17))),EXACT(C17&amp;"",B17&amp;"")))</f>
      </c>
      <c r="E17">
        <f>ISERROR(C17)</f>
      </c>
    </row>
    <row r="18">
      <c r="A18" t="str">
        <v>E6</v>
      </c>
      <c r="B18">
        <v>47200</v>
      </c>
      <c r="C18">
        <f>'tin8'!E6</f>
      </c>
      <c r="D18">
        <f>IF(ISERROR(C18),LEFT(B18&amp;"",1)="#",IF(ISNUMBER(C18),AND(ISNUMBER(B18),ABS(C18-B18)&lt;=0.000001*MAX(1,ABS(B18))),EXACT(C18&amp;"",B18&amp;"")))</f>
      </c>
      <c r="E18">
        <f>ISERROR(C18)</f>
      </c>
    </row>
    <row r="19">
      <c r="A19" t="str">
        <v>E7</v>
      </c>
      <c r="B19">
        <v>44800</v>
      </c>
      <c r="C19">
        <f>'tin8'!E7</f>
      </c>
      <c r="D19">
        <f>IF(ISERROR(C19),LEFT(B19&amp;"",1)="#",IF(ISNUMBER(C19),AND(ISNUMBER(B19),ABS(C19-B19)&lt;=0.000001*MAX(1,ABS(B19))),EXACT(C19&amp;"",B19&amp;"")))</f>
      </c>
      <c r="E19">
        <f>ISERROR(C19)</f>
      </c>
    </row>
    <row r="20">
      <c r="A20" t="str">
        <v>E8</v>
      </c>
      <c r="B20">
        <v>59840</v>
      </c>
      <c r="C20">
        <f>'tin8'!E8</f>
      </c>
      <c r="D20">
        <f>IF(ISERROR(C20),LEFT(B20&amp;"",1)="#",IF(ISNUMBER(C20),AND(ISNUMBER(B20),ABS(C20-B20)&lt;=0.000001*MAX(1,ABS(B20))),EXACT(C20&amp;"",B20&amp;"")))</f>
      </c>
      <c r="E20">
        <f>ISERROR(C20)</f>
      </c>
    </row>
    <row r="21">
      <c r="A21" t="str">
        <v>E9</v>
      </c>
      <c r="B21">
        <v>126960</v>
      </c>
      <c r="C21">
        <f>'tin8'!E9</f>
      </c>
      <c r="D21">
        <f>IF(ISERROR(C21),LEFT(B21&amp;"",1)="#",IF(ISNUMBER(C21),AND(ISNUMBER(B21),ABS(C21-B21)&lt;=0.000001*MAX(1,ABS(B21))),EXACT(C21&amp;"",B21&amp;"")))</f>
      </c>
      <c r="E21">
        <f>ISERROR(C21)</f>
      </c>
    </row>
    <row r="22">
      <c r="A22" t="str">
        <v>E10</v>
      </c>
      <c r="B22">
        <v>36400</v>
      </c>
      <c r="C22">
        <f>'tin8'!E10</f>
      </c>
      <c r="D22">
        <f>IF(ISERROR(C22),LEFT(B22&amp;"",1)="#",IF(ISNUMBER(C22),AND(ISNUMBER(B22),ABS(C22-B22)&lt;=0.000001*MAX(1,ABS(B22))),EXACT(C22&amp;"",B22&amp;"")))</f>
      </c>
      <c r="E22">
        <f>ISERROR(C22)</f>
      </c>
    </row>
    <row r="23">
      <c r="A23" t="str">
        <v>E11</v>
      </c>
      <c r="B23">
        <v>45760</v>
      </c>
      <c r="C23">
        <f>'tin8'!E11</f>
      </c>
      <c r="D23">
        <f>IF(ISERROR(C23),LEFT(B23&amp;"",1)="#",IF(ISNUMBER(C23),AND(ISNUMBER(B23),ABS(C23-B23)&lt;=0.000001*MAX(1,ABS(B23))),EXACT(C23&amp;"",B23&amp;"")))</f>
      </c>
      <c r="E23">
        <f>ISERROR(C23)</f>
      </c>
    </row>
    <row r="24">
      <c r="A24" t="str">
        <v>E12</v>
      </c>
      <c r="B24">
        <v>163520</v>
      </c>
      <c r="C24">
        <f>'tin8'!E12</f>
      </c>
      <c r="D24">
        <f>IF(ISERROR(C24),LEFT(B24&amp;"",1)="#",IF(ISNUMBER(C24),AND(ISNUMBER(B24),ABS(C24-B24)&lt;=0.000001*MAX(1,ABS(B24))),EXACT(C24&amp;"",B24&amp;"")))</f>
      </c>
      <c r="E24">
        <f>ISERROR(C24)</f>
      </c>
    </row>
    <row r="25">
      <c r="A25" t="str">
        <v>E13</v>
      </c>
      <c r="B25">
        <v>22960</v>
      </c>
      <c r="C25">
        <f>'tin8'!E13</f>
      </c>
      <c r="D25">
        <f>IF(ISERROR(C25),LEFT(B25&amp;"",1)="#",IF(ISNUMBER(C25),AND(ISNUMBER(B25),ABS(C25-B25)&lt;=0.000001*MAX(1,ABS(B25))),EXACT(C25&amp;"",B25&amp;"")))</f>
      </c>
      <c r="E25">
        <f>ISERROR(C25)</f>
      </c>
    </row>
    <row r="26">
      <c r="A26" t="str">
        <v>F2</v>
      </c>
      <c r="B26">
        <v>839160</v>
      </c>
      <c r="C26">
        <f>'tin8'!F2</f>
      </c>
      <c r="D26">
        <f>IF(ISERROR(C26),LEFT(B26&amp;"",1)="#",IF(ISNUMBER(C26),AND(ISNUMBER(B26),ABS(C26-B26)&lt;=0.000001*MAX(1,ABS(B26))),EXACT(C26&amp;"",B26&amp;"")))</f>
      </c>
      <c r="E26">
        <f>ISERROR(C26)</f>
      </c>
    </row>
    <row r="27">
      <c r="A27" t="str">
        <v>F3</v>
      </c>
      <c r="B27">
        <v>129600</v>
      </c>
      <c r="C27">
        <f>'tin8'!F3</f>
      </c>
      <c r="D27">
        <f>IF(ISERROR(C27),LEFT(B27&amp;"",1)="#",IF(ISNUMBER(C27),AND(ISNUMBER(B27),ABS(C27-B27)&lt;=0.000001*MAX(1,ABS(B27))),EXACT(C27&amp;"",B27&amp;"")))</f>
      </c>
      <c r="E27">
        <f>ISERROR(C27)</f>
      </c>
    </row>
    <row r="28">
      <c r="A28" t="str">
        <v>F4</v>
      </c>
      <c r="B28">
        <v>460080</v>
      </c>
      <c r="C28">
        <f>'tin8'!F4</f>
      </c>
      <c r="D28">
        <f>IF(ISERROR(C28),LEFT(B28&amp;"",1)="#",IF(ISNUMBER(C28),AND(ISNUMBER(B28),ABS(C28-B28)&lt;=0.000001*MAX(1,ABS(B28))),EXACT(C28&amp;"",B28&amp;"")))</f>
      </c>
      <c r="E28">
        <f>ISERROR(C28)</f>
      </c>
    </row>
    <row r="29">
      <c r="A29" t="str">
        <v>F5</v>
      </c>
      <c r="B29">
        <v>77760</v>
      </c>
      <c r="C29">
        <f>'tin8'!F5</f>
      </c>
      <c r="D29">
        <f>IF(ISERROR(C29),LEFT(B29&amp;"",1)="#",IF(ISNUMBER(C29),AND(ISNUMBER(B29),ABS(C29-B29)&lt;=0.000001*MAX(1,ABS(B29))),EXACT(C29&amp;"",B29&amp;"")))</f>
      </c>
      <c r="E29">
        <f>ISERROR(C29)</f>
      </c>
    </row>
    <row r="30">
      <c r="A30" t="str">
        <v>F6</v>
      </c>
      <c r="B30">
        <v>637200</v>
      </c>
      <c r="C30">
        <f>'tin8'!F6</f>
      </c>
      <c r="D30">
        <f>IF(ISERROR(C30),LEFT(B30&amp;"",1)="#",IF(ISNUMBER(C30),AND(ISNUMBER(B30),ABS(C30-B30)&lt;=0.000001*MAX(1,ABS(B30))),EXACT(C30&amp;"",B30&amp;"")))</f>
      </c>
      <c r="E30">
        <f>ISERROR(C30)</f>
      </c>
    </row>
    <row r="31">
      <c r="A31" t="str">
        <v>F7</v>
      </c>
      <c r="B31">
        <v>604800</v>
      </c>
      <c r="C31">
        <f>'tin8'!F7</f>
      </c>
      <c r="D31">
        <f>IF(ISERROR(C31),LEFT(B31&amp;"",1)="#",IF(ISNUMBER(C31),AND(ISNUMBER(B31),ABS(C31-B31)&lt;=0.000001*MAX(1,ABS(B31))),EXACT(C31&amp;"",B31&amp;"")))</f>
      </c>
      <c r="E31">
        <f>ISERROR(C31)</f>
      </c>
    </row>
    <row r="32">
      <c r="A32" t="str">
        <v>F8</v>
      </c>
      <c r="B32">
        <v>807840</v>
      </c>
      <c r="C32">
        <f>'tin8'!F8</f>
      </c>
      <c r="D32">
        <f>IF(ISERROR(C32),LEFT(B32&amp;"",1)="#",IF(ISNUMBER(C32),AND(ISNUMBER(B32),ABS(C32-B32)&lt;=0.000001*MAX(1,ABS(B32))),EXACT(C32&amp;"",B32&amp;"")))</f>
      </c>
      <c r="E32">
        <f>ISERROR(C32)</f>
      </c>
    </row>
    <row r="33">
      <c r="A33" t="str">
        <v>F9</v>
      </c>
      <c r="B33">
        <v>1713960</v>
      </c>
      <c r="C33">
        <f>'tin8'!F9</f>
      </c>
      <c r="D33">
        <f>IF(ISERROR(C33),LEFT(B33&amp;"",1)="#",IF(ISNUMBER(C33),AND(ISNUMBER(B33),ABS(C33-B33)&lt;=0.000001*MAX(1,ABS(B33))),EXACT(C33&amp;"",B33&amp;"")))</f>
      </c>
      <c r="E33">
        <f>ISERROR(C33)</f>
      </c>
    </row>
    <row r="34">
      <c r="A34" t="str">
        <v>F10</v>
      </c>
      <c r="B34">
        <v>491400</v>
      </c>
      <c r="C34">
        <f>'tin8'!F10</f>
      </c>
      <c r="D34">
        <f>IF(ISERROR(C34),LEFT(B34&amp;"",1)="#",IF(ISNUMBER(C34),AND(ISNUMBER(B34),ABS(C34-B34)&lt;=0.000001*MAX(1,ABS(B34))),EXACT(C34&amp;"",B34&amp;"")))</f>
      </c>
      <c r="E34">
        <f>ISERROR(C34)</f>
      </c>
    </row>
    <row r="35">
      <c r="A35" t="str">
        <v>F11</v>
      </c>
      <c r="B35">
        <v>617760</v>
      </c>
      <c r="C35">
        <f>'tin8'!F11</f>
      </c>
      <c r="D35">
        <f>IF(ISERROR(C35),LEFT(B35&amp;"",1)="#",IF(ISNUMBER(C35),AND(ISNUMBER(B35),ABS(C35-B35)&lt;=0.000001*MAX(1,ABS(B35))),EXACT(C35&amp;"",B35&amp;"")))</f>
      </c>
      <c r="E35">
        <f>ISERROR(C35)</f>
      </c>
    </row>
    <row r="36">
      <c r="A36" t="str">
        <v>F12</v>
      </c>
      <c r="B36">
        <v>2207520</v>
      </c>
      <c r="C36">
        <f>'tin8'!F12</f>
      </c>
      <c r="D36">
        <f>IF(ISERROR(C36),LEFT(B36&amp;"",1)="#",IF(ISNUMBER(C36),AND(ISNUMBER(B36),ABS(C36-B36)&lt;=0.000001*MAX(1,ABS(B36))),EXACT(C36&amp;"",B36&amp;"")))</f>
      </c>
      <c r="E36">
        <f>ISERROR(C36)</f>
      </c>
    </row>
    <row r="37">
      <c r="A37" t="str">
        <v>F13</v>
      </c>
      <c r="B37">
        <v>309960</v>
      </c>
      <c r="C37">
        <f>'tin8'!F13</f>
      </c>
      <c r="D37">
        <f>IF(ISERROR(C37),LEFT(B37&amp;"",1)="#",IF(ISNUMBER(C37),AND(ISNUMBER(B37),ABS(C37-B37)&lt;=0.000001*MAX(1,ABS(B37))),EXACT(C37&amp;"",B37&amp;"")))</f>
      </c>
      <c r="E37">
        <f>ISERROR(C37)</f>
      </c>
    </row>
    <row r="38">
      <c r="A38" t="str">
        <v>G2</v>
      </c>
      <c r="B38">
        <v>0.0943</v>
      </c>
      <c r="C38">
        <f>'tin8'!G2</f>
      </c>
      <c r="D38">
        <f>IF(ISERROR(C38),LEFT(B38&amp;"",1)="#",IF(ISNUMBER(C38),AND(ISNUMBER(B38),ABS(C38-B38)&lt;=0.000001*MAX(1,ABS(B38))),EXACT(C38&amp;"",B38&amp;"")))</f>
      </c>
      <c r="E38">
        <f>ISERROR(C38)</f>
      </c>
    </row>
    <row r="39">
      <c r="A39" t="str">
        <v>G3</v>
      </c>
      <c r="B39">
        <v>0.0146</v>
      </c>
      <c r="C39">
        <f>'tin8'!G3</f>
      </c>
      <c r="D39">
        <f>IF(ISERROR(C39),LEFT(B39&amp;"",1)="#",IF(ISNUMBER(C39),AND(ISNUMBER(B39),ABS(C39-B39)&lt;=0.000001*MAX(1,ABS(B39))),EXACT(C39&amp;"",B39&amp;"")))</f>
      </c>
      <c r="E39">
        <f>ISERROR(C39)</f>
      </c>
    </row>
    <row r="40">
      <c r="A40" t="str">
        <v>G4</v>
      </c>
      <c r="B40">
        <v>0.0517</v>
      </c>
      <c r="C40">
        <f>'tin8'!G4</f>
      </c>
      <c r="D40">
        <f>IF(ISERROR(C40),LEFT(B40&amp;"",1)="#",IF(ISNUMBER(C40),AND(ISNUMBER(B40),ABS(C40-B40)&lt;=0.000001*MAX(1,ABS(B40))),EXACT(C40&amp;"",B40&amp;"")))</f>
      </c>
      <c r="E40">
        <f>ISERROR(C40)</f>
      </c>
    </row>
    <row r="41">
      <c r="A41" t="str">
        <v>G5</v>
      </c>
      <c r="B41">
        <v>0.0087</v>
      </c>
      <c r="C41">
        <f>'tin8'!G5</f>
      </c>
      <c r="D41">
        <f>IF(ISERROR(C41),LEFT(B41&amp;"",1)="#",IF(ISNUMBER(C41),AND(ISNUMBER(B41),ABS(C41-B41)&lt;=0.000001*MAX(1,ABS(B41))),EXACT(C41&amp;"",B41&amp;"")))</f>
      </c>
      <c r="E41">
        <f>ISERROR(C41)</f>
      </c>
    </row>
    <row r="42">
      <c r="A42" t="str">
        <v>G6</v>
      </c>
      <c r="B42">
        <v>0.0716</v>
      </c>
      <c r="C42">
        <f>'tin8'!G6</f>
      </c>
      <c r="D42">
        <f>IF(ISERROR(C42),LEFT(B42&amp;"",1)="#",IF(ISNUMBER(C42),AND(ISNUMBER(B42),ABS(C42-B42)&lt;=0.000001*MAX(1,ABS(B42))),EXACT(C42&amp;"",B42&amp;"")))</f>
      </c>
      <c r="E42">
        <f>ISERROR(C42)</f>
      </c>
    </row>
    <row r="43">
      <c r="A43" t="str">
        <v>G7</v>
      </c>
      <c r="B43">
        <v>0.068</v>
      </c>
      <c r="C43">
        <f>'tin8'!G7</f>
      </c>
      <c r="D43">
        <f>IF(ISERROR(C43),LEFT(B43&amp;"",1)="#",IF(ISNUMBER(C43),AND(ISNUMBER(B43),ABS(C43-B43)&lt;=0.000001*MAX(1,ABS(B43))),EXACT(C43&amp;"",B43&amp;"")))</f>
      </c>
      <c r="E43">
        <f>ISERROR(C43)</f>
      </c>
    </row>
    <row r="44">
      <c r="A44" t="str">
        <v>G8</v>
      </c>
      <c r="B44">
        <v>0.0908</v>
      </c>
      <c r="C44">
        <f>'tin8'!G8</f>
      </c>
      <c r="D44">
        <f>IF(ISERROR(C44),LEFT(B44&amp;"",1)="#",IF(ISNUMBER(C44),AND(ISNUMBER(B44),ABS(C44-B44)&lt;=0.000001*MAX(1,ABS(B44))),EXACT(C44&amp;"",B44&amp;"")))</f>
      </c>
      <c r="E44">
        <f>ISERROR(C44)</f>
      </c>
    </row>
    <row r="45">
      <c r="A45" t="str">
        <v>G9</v>
      </c>
      <c r="B45">
        <v>0.1926</v>
      </c>
      <c r="C45">
        <f>'tin8'!G9</f>
      </c>
      <c r="D45">
        <f>IF(ISERROR(C45),LEFT(B45&amp;"",1)="#",IF(ISNUMBER(C45),AND(ISNUMBER(B45),ABS(C45-B45)&lt;=0.000001*MAX(1,ABS(B45))),EXACT(C45&amp;"",B45&amp;"")))</f>
      </c>
      <c r="E45">
        <f>ISERROR(C45)</f>
      </c>
    </row>
    <row r="46">
      <c r="A46" t="str">
        <v>G10</v>
      </c>
      <c r="B46">
        <v>0.0552</v>
      </c>
      <c r="C46">
        <f>'tin8'!G10</f>
      </c>
      <c r="D46">
        <f>IF(ISERROR(C46),LEFT(B46&amp;"",1)="#",IF(ISNUMBER(C46),AND(ISNUMBER(B46),ABS(C46-B46)&lt;=0.000001*MAX(1,ABS(B46))),EXACT(C46&amp;"",B46&amp;"")))</f>
      </c>
      <c r="E46">
        <f>ISERROR(C46)</f>
      </c>
    </row>
    <row r="47">
      <c r="A47" t="str">
        <v>G11</v>
      </c>
      <c r="B47">
        <v>0.0694</v>
      </c>
      <c r="C47">
        <f>'tin8'!G11</f>
      </c>
      <c r="D47">
        <f>IF(ISERROR(C47),LEFT(B47&amp;"",1)="#",IF(ISNUMBER(C47),AND(ISNUMBER(B47),ABS(C47-B47)&lt;=0.000001*MAX(1,ABS(B47))),EXACT(C47&amp;"",B47&amp;"")))</f>
      </c>
      <c r="E47">
        <f>ISERROR(C47)</f>
      </c>
    </row>
    <row r="48">
      <c r="A48" t="str">
        <v>G12</v>
      </c>
      <c r="B48">
        <v>0.2481</v>
      </c>
      <c r="C48">
        <f>'tin8'!G12</f>
      </c>
      <c r="D48">
        <f>IF(ISERROR(C48),LEFT(B48&amp;"",1)="#",IF(ISNUMBER(C48),AND(ISNUMBER(B48),ABS(C48-B48)&lt;=0.000001*MAX(1,ABS(B48))),EXACT(C48&amp;"",B48&amp;"")))</f>
      </c>
      <c r="E48">
        <f>ISERROR(C48)</f>
      </c>
    </row>
    <row r="49">
      <c r="A49" t="str">
        <v>G13</v>
      </c>
      <c r="B49">
        <v>0.0348</v>
      </c>
      <c r="C49">
        <f>'tin8'!G13</f>
      </c>
      <c r="D49">
        <f>IF(ISERROR(C49),LEFT(B49&amp;"",1)="#",IF(ISNUMBER(C49),AND(ISNUMBER(B49),ABS(C49-B49)&lt;=0.000001*MAX(1,ABS(B49))),EXACT(C49&amp;"",B49&amp;"")))</f>
      </c>
      <c r="E49">
        <f>ISERROR(C49)</f>
      </c>
    </row>
    <row r="50">
      <c r="A50" t="str">
        <v>Z2</v>
      </c>
      <c r="B50">
        <v>8238000</v>
      </c>
      <c r="C50">
        <f>'tin8'!Z2</f>
      </c>
      <c r="D50">
        <f>IF(ISERROR(C50),LEFT(B50&amp;"",1)="#",IF(ISNUMBER(C50),AND(ISNUMBER(B50),ABS(C50-B50)&lt;=0.000001*MAX(1,ABS(B50))),EXACT(C50&amp;"",B50&amp;"")))</f>
      </c>
      <c r="E50">
        <f>ISERROR(C50)</f>
      </c>
    </row>
    <row r="51">
      <c r="A51" t="str">
        <v>Z3</v>
      </c>
      <c r="B51">
        <v>8897040</v>
      </c>
      <c r="C51">
        <f>'tin8'!Z3</f>
      </c>
      <c r="D51">
        <f>IF(ISERROR(C51),LEFT(B51&amp;"",1)="#",IF(ISNUMBER(C51),AND(ISNUMBER(B51),ABS(C51-B51)&lt;=0.000001*MAX(1,ABS(B51))),EXACT(C51&amp;"",B51&amp;"")))</f>
      </c>
      <c r="E51">
        <f>ISERROR(C51)</f>
      </c>
    </row>
    <row r="52">
      <c r="A52" t="str">
        <v>Z4</v>
      </c>
      <c r="B52">
        <v>2207520</v>
      </c>
      <c r="C52">
        <f>'tin8'!Z4</f>
      </c>
      <c r="D52">
        <f>IF(ISERROR(C52),LEFT(B52&amp;"",1)="#",IF(ISNUMBER(C52),AND(ISNUMBER(B52),ABS(C52-B52)&lt;=0.000001*MAX(1,ABS(B52))),EXACT(C52&amp;"",B52&amp;"")))</f>
      </c>
      <c r="E52">
        <f>ISERROR(C52)</f>
      </c>
    </row>
    <row r="53">
      <c r="A53" t="str">
        <v>Z5</v>
      </c>
      <c r="B53">
        <v>72000</v>
      </c>
      <c r="C53">
        <f>'tin8'!Z5</f>
      </c>
      <c r="D53">
        <f>IF(ISERROR(C53),LEFT(B53&amp;"",1)="#",IF(ISNUMBER(C53),AND(ISNUMBER(B53),ABS(C53-B53)&lt;=0.000001*MAX(1,ABS(B53))),EXACT(C53&amp;"",B53&amp;"")))</f>
      </c>
      <c r="E53">
        <f>ISERROR(C53)</f>
      </c>
    </row>
    <row r="54">
      <c r="A54" t="str">
        <v>Z6</v>
      </c>
      <c r="B54">
        <v>14.58</v>
      </c>
      <c r="C54">
        <f>'tin8'!Z6</f>
      </c>
      <c r="D54">
        <f>IF(ISERROR(C54),LEFT(B54&amp;"",1)="#",IF(ISNUMBER(C54),AND(ISNUMBER(B54),ABS(C54-B54)&lt;=0.000001*MAX(1,ABS(B54))),EXACT(C54&amp;"",B54&amp;"")))</f>
      </c>
      <c r="E54">
        <f>ISERROR(C54)</f>
      </c>
    </row>
    <row r="55">
      <c r="A55" t="str">
        <v>Z7</v>
      </c>
      <c r="B55">
        <v>12</v>
      </c>
      <c r="C55">
        <f>'tin8'!Z7</f>
      </c>
      <c r="D55">
        <f>IF(ISERROR(C55),LEFT(B55&amp;"",1)="#",IF(ISNUMBER(C55),AND(ISNUMBER(B55),ABS(C55-B55)&lt;=0.000001*MAX(1,ABS(B55))),EXACT(C55&amp;"",B55&amp;"")))</f>
      </c>
      <c r="E55">
        <f>ISERROR(C55)</f>
      </c>
    </row>
  </sheetData>
  <ignoredErrors>
    <ignoredError numberStoredAsText="1" sqref="A1:E55"/>
  </ignoredErrors>
</worksheet>
</file>

<file path=xl/worksheets/sheet1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MaDT</v>
      </c>
      <c r="B1" t="str">
        <v>a</v>
      </c>
      <c r="C1" t="str">
        <v>b</v>
      </c>
      <c r="D1" t="str">
        <v>x0</v>
      </c>
      <c r="E1" t="str">
        <v>y0</v>
      </c>
      <c r="F1" t="str">
        <v>GiaoOx</v>
      </c>
      <c r="G1" t="str">
        <v>DauA</v>
      </c>
      <c r="H1" t="str">
        <v>QuaGoc</v>
      </c>
      <c r="W1" t="str">
        <v>DauA</v>
      </c>
      <c r="Y1" t="str">
        <v>TongHop</v>
      </c>
      <c r="Z1" t="str">
        <v>KetQua</v>
      </c>
    </row>
    <row r="2">
      <c r="A2" t="str">
        <v>DT01</v>
      </c>
      <c r="B2">
        <v>2</v>
      </c>
      <c r="C2">
        <v>-1</v>
      </c>
      <c r="D2">
        <v>0</v>
      </c>
      <c r="E2">
        <f>B2*D2+C2</f>
        <v>-1</v>
      </c>
      <c r="F2">
        <f>ROUND(-C2/B2,2)</f>
        <v>0.5</v>
      </c>
      <c r="G2" t="str">
        <f>IF(B2&gt;0,"DONG BIEN","NGHICH BIEN")</f>
        <v>DONG BIEN</v>
      </c>
      <c r="H2" t="str">
        <f>IF(C2=0,"CO","KHONG")</f>
        <v>KHONG</v>
      </c>
      <c r="W2" t="str">
        <v>DONG BIEN</v>
      </c>
      <c r="Y2" t="str">
        <v>Ma MaDT co y0 lon nhat</v>
      </c>
      <c r="Z2" t="str">
        <f>INDEX(A2:A13,MATCH(MAX(E2:E13),E2:E13,0))</f>
        <v>DT11</v>
      </c>
    </row>
    <row r="3">
      <c r="A3" t="str">
        <v>DT02</v>
      </c>
      <c r="B3">
        <v>-5</v>
      </c>
      <c r="C3">
        <v>-7</v>
      </c>
      <c r="D3">
        <v>4</v>
      </c>
      <c r="E3">
        <f>B3*D3+C3</f>
        <v>-27</v>
      </c>
      <c r="F3">
        <f>ROUND(-C3/B3,2)</f>
        <v>-1.4</v>
      </c>
      <c r="G3" t="str">
        <f>IF(B3&gt;0,"DONG BIEN","NGHICH BIEN")</f>
        <v>NGHICH BIEN</v>
      </c>
      <c r="H3" t="str">
        <f>IF(C3=0,"CO","KHONG")</f>
        <v>KHONG</v>
      </c>
      <c r="Y3" t="str">
        <v>Tong y0 khi DauA = DONG BIEN</v>
      </c>
      <c r="Z3">
        <f>SUMIF(G2:G13,"DONG BIEN",E2:E13)</f>
        <v>58</v>
      </c>
    </row>
    <row r="4">
      <c r="A4" t="str">
        <v>DT03</v>
      </c>
      <c r="B4">
        <v>-5</v>
      </c>
      <c r="C4">
        <v>8</v>
      </c>
      <c r="D4">
        <v>-2</v>
      </c>
      <c r="E4">
        <f>B4*D4+C4</f>
        <v>18</v>
      </c>
      <c r="F4">
        <f>ROUND(-C4/B4,2)</f>
        <v>1.6</v>
      </c>
      <c r="G4" t="str">
        <f>IF(B4&gt;0,"DONG BIEN","NGHICH BIEN")</f>
        <v>NGHICH BIEN</v>
      </c>
      <c r="H4" t="str">
        <f>IF(C4=0,"CO","KHONG")</f>
        <v>KHONG</v>
      </c>
      <c r="Y4" t="str">
        <v>So dong DauA = NGHICH BIEN, b &gt;0</v>
      </c>
      <c r="Z4">
        <f>COUNTIFS(G2:G13,"NGHICH BIEN",C2:C13,"&gt;0")</f>
        <v>3</v>
      </c>
    </row>
    <row r="5">
      <c r="A5" t="str">
        <v>DT04</v>
      </c>
      <c r="B5">
        <v>3</v>
      </c>
      <c r="C5">
        <v>3</v>
      </c>
      <c r="D5">
        <v>-2</v>
      </c>
      <c r="E5">
        <f>B5*D5+C5</f>
        <v>-3</v>
      </c>
      <c r="F5">
        <f>ROUND(-C5/B5,2)</f>
        <v>-1</v>
      </c>
      <c r="G5" t="str">
        <f>IF(B5&gt;0,"DONG BIEN","NGHICH BIEN")</f>
        <v>DONG BIEN</v>
      </c>
      <c r="H5" t="str">
        <f>IF(C5=0,"CO","KHONG")</f>
        <v>KHONG</v>
      </c>
      <c r="Y5" t="str">
        <v>GiaoOx trung binh khi DauA = DONG BIEN</v>
      </c>
      <c r="Z5">
        <f>AVERAGEIF(G2:G13,"DONG BIEN",F2:F13)</f>
        <v>0.1571428571428572</v>
      </c>
    </row>
    <row r="6">
      <c r="A6" t="str">
        <v>DT05</v>
      </c>
      <c r="B6">
        <v>-2</v>
      </c>
      <c r="C6">
        <v>7</v>
      </c>
      <c r="D6">
        <v>3</v>
      </c>
      <c r="E6">
        <f>B6*D6+C6</f>
        <v>1</v>
      </c>
      <c r="F6">
        <f>ROUND(-C6/B6,2)</f>
        <v>3.5</v>
      </c>
      <c r="G6" t="str">
        <f>IF(B6&gt;0,"DONG BIEN","NGHICH BIEN")</f>
        <v>NGHICH BIEN</v>
      </c>
      <c r="H6" t="str">
        <f>IF(C6=0,"CO","KHONG")</f>
        <v>KHONG</v>
      </c>
      <c r="Y6" t="str">
        <v>y0 lon nhat khi DauA = NGHICH BIEN</v>
      </c>
      <c r="Z6">
        <f>_xlfn.MAXIFS(E2:E13,G2:G13,"NGHICH BIEN")</f>
        <v>18</v>
      </c>
    </row>
    <row r="7">
      <c r="A7" t="str">
        <v>DT06</v>
      </c>
      <c r="B7">
        <v>4</v>
      </c>
      <c r="C7">
        <v>-6</v>
      </c>
      <c r="D7">
        <v>3</v>
      </c>
      <c r="E7">
        <f>B7*D7+C7</f>
        <v>6</v>
      </c>
      <c r="F7">
        <f>ROUND(-C7/B7,2)</f>
        <v>1.5</v>
      </c>
      <c r="G7" t="str">
        <f>IF(B7&gt;0,"DONG BIEN","NGHICH BIEN")</f>
        <v>DONG BIEN</v>
      </c>
      <c r="H7" t="str">
        <f>IF(C7=0,"CO","KHONG")</f>
        <v>KHONG</v>
      </c>
      <c r="Y7" t="str">
        <v>y0 trung vi</v>
      </c>
      <c r="Z7">
        <f>MEDIAN(E2:E13)</f>
        <v>3.5</v>
      </c>
    </row>
    <row r="8">
      <c r="A8" t="str">
        <v>DT07</v>
      </c>
      <c r="B8">
        <v>4</v>
      </c>
      <c r="C8">
        <v>-6</v>
      </c>
      <c r="D8">
        <v>5</v>
      </c>
      <c r="E8">
        <f>B8*D8+C8</f>
        <v>14</v>
      </c>
      <c r="F8">
        <f>ROUND(-C8/B8,2)</f>
        <v>1.5</v>
      </c>
      <c r="G8" t="str">
        <f>IF(B8&gt;0,"DONG BIEN","NGHICH BIEN")</f>
        <v>DONG BIEN</v>
      </c>
      <c r="H8" t="str">
        <f>IF(C8=0,"CO","KHONG")</f>
        <v>KHONG</v>
      </c>
      <c r="Y8" t="str">
        <v>y0 lon thu hai</v>
      </c>
      <c r="Z8">
        <f>LARGE(E2:E13,2)</f>
        <v>24</v>
      </c>
    </row>
    <row r="9">
      <c r="A9" t="str">
        <v>DT08</v>
      </c>
      <c r="B9">
        <v>5</v>
      </c>
      <c r="C9">
        <v>-6</v>
      </c>
      <c r="D9">
        <v>0</v>
      </c>
      <c r="E9">
        <f>B9*D9+C9</f>
        <v>-6</v>
      </c>
      <c r="F9">
        <f>ROUND(-C9/B9,2)</f>
        <v>1.2</v>
      </c>
      <c r="G9" t="str">
        <f>IF(B9&gt;0,"DONG BIEN","NGHICH BIEN")</f>
        <v>DONG BIEN</v>
      </c>
      <c r="H9" t="str">
        <f>IF(C9=0,"CO","KHONG")</f>
        <v>KHONG</v>
      </c>
      <c r="Y9" t="str">
        <v>Do lech chuan GiaoOx</v>
      </c>
      <c r="Z9">
        <f>ROUND(STDEV(F2:F13),2)</f>
        <v>1.54</v>
      </c>
    </row>
    <row r="10">
      <c r="A10" t="str">
        <v>DT09</v>
      </c>
      <c r="B10">
        <v>-2</v>
      </c>
      <c r="C10">
        <v>1</v>
      </c>
      <c r="D10">
        <v>-4</v>
      </c>
      <c r="E10">
        <f>B10*D10+C10</f>
        <v>9</v>
      </c>
      <c r="F10">
        <f>ROUND(-C10/B10,2)</f>
        <v>0.5</v>
      </c>
      <c r="G10" t="str">
        <f>IF(B10&gt;0,"DONG BIEN","NGHICH BIEN")</f>
        <v>NGHICH BIEN</v>
      </c>
      <c r="H10" t="str">
        <f>IF(C10=0,"CO","KHONG")</f>
        <v>KHONG</v>
      </c>
      <c r="Y10" t="str">
        <v>Tong y0 theo tieu chi W1:W2</v>
      </c>
      <c r="Z10">
        <f>DSUM(A1:H13,"y0",W1:W2)</f>
        <v>58</v>
      </c>
    </row>
    <row r="11">
      <c r="A11" t="str">
        <v>DT10</v>
      </c>
      <c r="B11">
        <v>-3</v>
      </c>
      <c r="C11">
        <v>-1</v>
      </c>
      <c r="D11">
        <v>4</v>
      </c>
      <c r="E11">
        <f>B11*D11+C11</f>
        <v>-13</v>
      </c>
      <c r="F11">
        <f>ROUND(-C11/B11,2)</f>
        <v>-0.33</v>
      </c>
      <c r="G11" t="str">
        <f>IF(B11&gt;0,"DONG BIEN","NGHICH BIEN")</f>
        <v>NGHICH BIEN</v>
      </c>
      <c r="H11" t="str">
        <f>IF(C11=0,"CO","KHONG")</f>
        <v>KHONG</v>
      </c>
      <c r="Y11" t="str">
        <v>So dong theo tieu chi W1:W2</v>
      </c>
      <c r="Z11">
        <f>DCOUNT(A1:H13,"y0",W1:W2)</f>
        <v>7</v>
      </c>
    </row>
    <row r="12">
      <c r="A12" t="str">
        <v>DT11</v>
      </c>
      <c r="B12">
        <v>5</v>
      </c>
      <c r="C12">
        <v>4</v>
      </c>
      <c r="D12">
        <v>4</v>
      </c>
      <c r="E12">
        <f>B12*D12+C12</f>
        <v>24</v>
      </c>
      <c r="F12">
        <f>ROUND(-C12/B12,2)</f>
        <v>-0.8</v>
      </c>
      <c r="G12" t="str">
        <f>IF(B12&gt;0,"DONG BIEN","NGHICH BIEN")</f>
        <v>DONG BIEN</v>
      </c>
      <c r="H12" t="str">
        <f>IF(C12=0,"CO","KHONG")</f>
        <v>KHONG</v>
      </c>
      <c r="Y12" t="str">
        <v>Tong y0 khi DauA = DONG BIEN (SUMPRODUCT)</v>
      </c>
      <c r="Z12">
        <f>SUMPRODUCT((G2:G13="DONG BIEN")*E2:E13)</f>
        <v>58</v>
      </c>
    </row>
    <row r="13">
      <c r="A13" t="str">
        <v>DT12</v>
      </c>
      <c r="B13">
        <v>5</v>
      </c>
      <c r="C13">
        <v>9</v>
      </c>
      <c r="D13">
        <v>3</v>
      </c>
      <c r="E13">
        <f>B13*D13+C13</f>
        <v>24</v>
      </c>
      <c r="F13">
        <f>ROUND(-C13/B13,2)</f>
        <v>-1.8</v>
      </c>
      <c r="G13" t="str">
        <f>IF(B13&gt;0,"DONG BIEN","NGHICH BIEN")</f>
        <v>DONG BIEN</v>
      </c>
      <c r="H13" t="str">
        <f>IF(C13=0,"CO","KHONG")</f>
        <v>KHONG</v>
      </c>
      <c r="Y13" t="str">
        <v>Tong a x x0</v>
      </c>
      <c r="Z13">
        <f>SUMPRODUCT(B2:B13,D2:D13)</f>
        <v>41</v>
      </c>
    </row>
  </sheetData>
  <ignoredErrors>
    <ignoredError numberStoredAsText="1" sqref="A1:Z13"/>
  </ignoredErrors>
</worksheet>
</file>

<file path=xl/worksheets/sheet15.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v>
      </c>
      <c r="C2">
        <f>'toan8'!E2</f>
      </c>
      <c r="D2">
        <f>IF(ISERROR(C2),LEFT(B2&amp;"",1)="#",IF(ISNUMBER(C2),AND(ISNUMBER(B2),ABS(C2-B2)&lt;=0.000001*MAX(1,ABS(B2))),EXACT(C2&amp;"",B2&amp;"")))</f>
      </c>
      <c r="E2">
        <f>ISERROR(C2)</f>
      </c>
    </row>
    <row r="3">
      <c r="A3" t="str">
        <v>E3</v>
      </c>
      <c r="B3">
        <v>-27</v>
      </c>
      <c r="C3">
        <f>'toan8'!E3</f>
      </c>
      <c r="D3">
        <f>IF(ISERROR(C3),LEFT(B3&amp;"",1)="#",IF(ISNUMBER(C3),AND(ISNUMBER(B3),ABS(C3-B3)&lt;=0.000001*MAX(1,ABS(B3))),EXACT(C3&amp;"",B3&amp;"")))</f>
      </c>
      <c r="E3">
        <f>ISERROR(C3)</f>
      </c>
    </row>
    <row r="4">
      <c r="A4" t="str">
        <v>E4</v>
      </c>
      <c r="B4">
        <v>18</v>
      </c>
      <c r="C4">
        <f>'toan8'!E4</f>
      </c>
      <c r="D4">
        <f>IF(ISERROR(C4),LEFT(B4&amp;"",1)="#",IF(ISNUMBER(C4),AND(ISNUMBER(B4),ABS(C4-B4)&lt;=0.000001*MAX(1,ABS(B4))),EXACT(C4&amp;"",B4&amp;"")))</f>
      </c>
      <c r="E4">
        <f>ISERROR(C4)</f>
      </c>
    </row>
    <row r="5">
      <c r="A5" t="str">
        <v>E5</v>
      </c>
      <c r="B5">
        <v>-3</v>
      </c>
      <c r="C5">
        <f>'toan8'!E5</f>
      </c>
      <c r="D5">
        <f>IF(ISERROR(C5),LEFT(B5&amp;"",1)="#",IF(ISNUMBER(C5),AND(ISNUMBER(B5),ABS(C5-B5)&lt;=0.000001*MAX(1,ABS(B5))),EXACT(C5&amp;"",B5&amp;"")))</f>
      </c>
      <c r="E5">
        <f>ISERROR(C5)</f>
      </c>
    </row>
    <row r="6">
      <c r="A6" t="str">
        <v>E6</v>
      </c>
      <c r="B6">
        <v>1</v>
      </c>
      <c r="C6">
        <f>'toan8'!E6</f>
      </c>
      <c r="D6">
        <f>IF(ISERROR(C6),LEFT(B6&amp;"",1)="#",IF(ISNUMBER(C6),AND(ISNUMBER(B6),ABS(C6-B6)&lt;=0.000001*MAX(1,ABS(B6))),EXACT(C6&amp;"",B6&amp;"")))</f>
      </c>
      <c r="E6">
        <f>ISERROR(C6)</f>
      </c>
    </row>
    <row r="7">
      <c r="A7" t="str">
        <v>E7</v>
      </c>
      <c r="B7">
        <v>6</v>
      </c>
      <c r="C7">
        <f>'toan8'!E7</f>
      </c>
      <c r="D7">
        <f>IF(ISERROR(C7),LEFT(B7&amp;"",1)="#",IF(ISNUMBER(C7),AND(ISNUMBER(B7),ABS(C7-B7)&lt;=0.000001*MAX(1,ABS(B7))),EXACT(C7&amp;"",B7&amp;"")))</f>
      </c>
      <c r="E7">
        <f>ISERROR(C7)</f>
      </c>
    </row>
    <row r="8">
      <c r="A8" t="str">
        <v>E8</v>
      </c>
      <c r="B8">
        <v>14</v>
      </c>
      <c r="C8">
        <f>'toan8'!E8</f>
      </c>
      <c r="D8">
        <f>IF(ISERROR(C8),LEFT(B8&amp;"",1)="#",IF(ISNUMBER(C8),AND(ISNUMBER(B8),ABS(C8-B8)&lt;=0.000001*MAX(1,ABS(B8))),EXACT(C8&amp;"",B8&amp;"")))</f>
      </c>
      <c r="E8">
        <f>ISERROR(C8)</f>
      </c>
    </row>
    <row r="9">
      <c r="A9" t="str">
        <v>E9</v>
      </c>
      <c r="B9">
        <v>-6</v>
      </c>
      <c r="C9">
        <f>'toan8'!E9</f>
      </c>
      <c r="D9">
        <f>IF(ISERROR(C9),LEFT(B9&amp;"",1)="#",IF(ISNUMBER(C9),AND(ISNUMBER(B9),ABS(C9-B9)&lt;=0.000001*MAX(1,ABS(B9))),EXACT(C9&amp;"",B9&amp;"")))</f>
      </c>
      <c r="E9">
        <f>ISERROR(C9)</f>
      </c>
    </row>
    <row r="10">
      <c r="A10" t="str">
        <v>E10</v>
      </c>
      <c r="B10">
        <v>9</v>
      </c>
      <c r="C10">
        <f>'toan8'!E10</f>
      </c>
      <c r="D10">
        <f>IF(ISERROR(C10),LEFT(B10&amp;"",1)="#",IF(ISNUMBER(C10),AND(ISNUMBER(B10),ABS(C10-B10)&lt;=0.000001*MAX(1,ABS(B10))),EXACT(C10&amp;"",B10&amp;"")))</f>
      </c>
      <c r="E10">
        <f>ISERROR(C10)</f>
      </c>
    </row>
    <row r="11">
      <c r="A11" t="str">
        <v>E11</v>
      </c>
      <c r="B11">
        <v>-13</v>
      </c>
      <c r="C11">
        <f>'toan8'!E11</f>
      </c>
      <c r="D11">
        <f>IF(ISERROR(C11),LEFT(B11&amp;"",1)="#",IF(ISNUMBER(C11),AND(ISNUMBER(B11),ABS(C11-B11)&lt;=0.000001*MAX(1,ABS(B11))),EXACT(C11&amp;"",B11&amp;"")))</f>
      </c>
      <c r="E11">
        <f>ISERROR(C11)</f>
      </c>
    </row>
    <row r="12">
      <c r="A12" t="str">
        <v>E12</v>
      </c>
      <c r="B12">
        <v>24</v>
      </c>
      <c r="C12">
        <f>'toan8'!E12</f>
      </c>
      <c r="D12">
        <f>IF(ISERROR(C12),LEFT(B12&amp;"",1)="#",IF(ISNUMBER(C12),AND(ISNUMBER(B12),ABS(C12-B12)&lt;=0.000001*MAX(1,ABS(B12))),EXACT(C12&amp;"",B12&amp;"")))</f>
      </c>
      <c r="E12">
        <f>ISERROR(C12)</f>
      </c>
    </row>
    <row r="13">
      <c r="A13" t="str">
        <v>E13</v>
      </c>
      <c r="B13">
        <v>24</v>
      </c>
      <c r="C13">
        <f>'toan8'!E13</f>
      </c>
      <c r="D13">
        <f>IF(ISERROR(C13),LEFT(B13&amp;"",1)="#",IF(ISNUMBER(C13),AND(ISNUMBER(B13),ABS(C13-B13)&lt;=0.000001*MAX(1,ABS(B13))),EXACT(C13&amp;"",B13&amp;"")))</f>
      </c>
      <c r="E13">
        <f>ISERROR(C13)</f>
      </c>
    </row>
    <row r="14">
      <c r="A14" t="str">
        <v>F2</v>
      </c>
      <c r="B14">
        <v>0.5</v>
      </c>
      <c r="C14">
        <f>'toan8'!F2</f>
      </c>
      <c r="D14">
        <f>IF(ISERROR(C14),LEFT(B14&amp;"",1)="#",IF(ISNUMBER(C14),AND(ISNUMBER(B14),ABS(C14-B14)&lt;=0.000001*MAX(1,ABS(B14))),EXACT(C14&amp;"",B14&amp;"")))</f>
      </c>
      <c r="E14">
        <f>ISERROR(C14)</f>
      </c>
    </row>
    <row r="15">
      <c r="A15" t="str">
        <v>F3</v>
      </c>
      <c r="B15">
        <v>-1.4</v>
      </c>
      <c r="C15">
        <f>'toan8'!F3</f>
      </c>
      <c r="D15">
        <f>IF(ISERROR(C15),LEFT(B15&amp;"",1)="#",IF(ISNUMBER(C15),AND(ISNUMBER(B15),ABS(C15-B15)&lt;=0.000001*MAX(1,ABS(B15))),EXACT(C15&amp;"",B15&amp;"")))</f>
      </c>
      <c r="E15">
        <f>ISERROR(C15)</f>
      </c>
    </row>
    <row r="16">
      <c r="A16" t="str">
        <v>F4</v>
      </c>
      <c r="B16">
        <v>1.6</v>
      </c>
      <c r="C16">
        <f>'toan8'!F4</f>
      </c>
      <c r="D16">
        <f>IF(ISERROR(C16),LEFT(B16&amp;"",1)="#",IF(ISNUMBER(C16),AND(ISNUMBER(B16),ABS(C16-B16)&lt;=0.000001*MAX(1,ABS(B16))),EXACT(C16&amp;"",B16&amp;"")))</f>
      </c>
      <c r="E16">
        <f>ISERROR(C16)</f>
      </c>
    </row>
    <row r="17">
      <c r="A17" t="str">
        <v>F5</v>
      </c>
      <c r="B17">
        <v>-1</v>
      </c>
      <c r="C17">
        <f>'toan8'!F5</f>
      </c>
      <c r="D17">
        <f>IF(ISERROR(C17),LEFT(B17&amp;"",1)="#",IF(ISNUMBER(C17),AND(ISNUMBER(B17),ABS(C17-B17)&lt;=0.000001*MAX(1,ABS(B17))),EXACT(C17&amp;"",B17&amp;"")))</f>
      </c>
      <c r="E17">
        <f>ISERROR(C17)</f>
      </c>
    </row>
    <row r="18">
      <c r="A18" t="str">
        <v>F6</v>
      </c>
      <c r="B18">
        <v>3.5</v>
      </c>
      <c r="C18">
        <f>'toan8'!F6</f>
      </c>
      <c r="D18">
        <f>IF(ISERROR(C18),LEFT(B18&amp;"",1)="#",IF(ISNUMBER(C18),AND(ISNUMBER(B18),ABS(C18-B18)&lt;=0.000001*MAX(1,ABS(B18))),EXACT(C18&amp;"",B18&amp;"")))</f>
      </c>
      <c r="E18">
        <f>ISERROR(C18)</f>
      </c>
    </row>
    <row r="19">
      <c r="A19" t="str">
        <v>F7</v>
      </c>
      <c r="B19">
        <v>1.5</v>
      </c>
      <c r="C19">
        <f>'toan8'!F7</f>
      </c>
      <c r="D19">
        <f>IF(ISERROR(C19),LEFT(B19&amp;"",1)="#",IF(ISNUMBER(C19),AND(ISNUMBER(B19),ABS(C19-B19)&lt;=0.000001*MAX(1,ABS(B19))),EXACT(C19&amp;"",B19&amp;"")))</f>
      </c>
      <c r="E19">
        <f>ISERROR(C19)</f>
      </c>
    </row>
    <row r="20">
      <c r="A20" t="str">
        <v>F8</v>
      </c>
      <c r="B20">
        <v>1.5</v>
      </c>
      <c r="C20">
        <f>'toan8'!F8</f>
      </c>
      <c r="D20">
        <f>IF(ISERROR(C20),LEFT(B20&amp;"",1)="#",IF(ISNUMBER(C20),AND(ISNUMBER(B20),ABS(C20-B20)&lt;=0.000001*MAX(1,ABS(B20))),EXACT(C20&amp;"",B20&amp;"")))</f>
      </c>
      <c r="E20">
        <f>ISERROR(C20)</f>
      </c>
    </row>
    <row r="21">
      <c r="A21" t="str">
        <v>F9</v>
      </c>
      <c r="B21">
        <v>1.2</v>
      </c>
      <c r="C21">
        <f>'toan8'!F9</f>
      </c>
      <c r="D21">
        <f>IF(ISERROR(C21),LEFT(B21&amp;"",1)="#",IF(ISNUMBER(C21),AND(ISNUMBER(B21),ABS(C21-B21)&lt;=0.000001*MAX(1,ABS(B21))),EXACT(C21&amp;"",B21&amp;"")))</f>
      </c>
      <c r="E21">
        <f>ISERROR(C21)</f>
      </c>
    </row>
    <row r="22">
      <c r="A22" t="str">
        <v>F10</v>
      </c>
      <c r="B22">
        <v>0.5</v>
      </c>
      <c r="C22">
        <f>'toan8'!F10</f>
      </c>
      <c r="D22">
        <f>IF(ISERROR(C22),LEFT(B22&amp;"",1)="#",IF(ISNUMBER(C22),AND(ISNUMBER(B22),ABS(C22-B22)&lt;=0.000001*MAX(1,ABS(B22))),EXACT(C22&amp;"",B22&amp;"")))</f>
      </c>
      <c r="E22">
        <f>ISERROR(C22)</f>
      </c>
    </row>
    <row r="23">
      <c r="A23" t="str">
        <v>F11</v>
      </c>
      <c r="B23">
        <v>-0.33</v>
      </c>
      <c r="C23">
        <f>'toan8'!F11</f>
      </c>
      <c r="D23">
        <f>IF(ISERROR(C23),LEFT(B23&amp;"",1)="#",IF(ISNUMBER(C23),AND(ISNUMBER(B23),ABS(C23-B23)&lt;=0.000001*MAX(1,ABS(B23))),EXACT(C23&amp;"",B23&amp;"")))</f>
      </c>
      <c r="E23">
        <f>ISERROR(C23)</f>
      </c>
    </row>
    <row r="24">
      <c r="A24" t="str">
        <v>F12</v>
      </c>
      <c r="B24">
        <v>-0.8</v>
      </c>
      <c r="C24">
        <f>'toan8'!F12</f>
      </c>
      <c r="D24">
        <f>IF(ISERROR(C24),LEFT(B24&amp;"",1)="#",IF(ISNUMBER(C24),AND(ISNUMBER(B24),ABS(C24-B24)&lt;=0.000001*MAX(1,ABS(B24))),EXACT(C24&amp;"",B24&amp;"")))</f>
      </c>
      <c r="E24">
        <f>ISERROR(C24)</f>
      </c>
    </row>
    <row r="25">
      <c r="A25" t="str">
        <v>F13</v>
      </c>
      <c r="B25">
        <v>-1.8</v>
      </c>
      <c r="C25">
        <f>'toan8'!F13</f>
      </c>
      <c r="D25">
        <f>IF(ISERROR(C25),LEFT(B25&amp;"",1)="#",IF(ISNUMBER(C25),AND(ISNUMBER(B25),ABS(C25-B25)&lt;=0.000001*MAX(1,ABS(B25))),EXACT(C25&amp;"",B25&amp;"")))</f>
      </c>
      <c r="E25">
        <f>ISERROR(C25)</f>
      </c>
    </row>
    <row r="26">
      <c r="A26" t="str">
        <v>G2</v>
      </c>
      <c r="B26" t="str">
        <v>DONG BIEN</v>
      </c>
      <c r="C26">
        <f>'toan8'!G2</f>
      </c>
      <c r="D26">
        <f>IF(ISERROR(C26),LEFT(B26&amp;"",1)="#",IF(ISNUMBER(C26),AND(ISNUMBER(B26),ABS(C26-B26)&lt;=0.000001*MAX(1,ABS(B26))),EXACT(C26&amp;"",B26&amp;"")))</f>
      </c>
      <c r="E26">
        <f>ISERROR(C26)</f>
      </c>
    </row>
    <row r="27">
      <c r="A27" t="str">
        <v>G3</v>
      </c>
      <c r="B27" t="str">
        <v>NGHICH BIEN</v>
      </c>
      <c r="C27">
        <f>'toan8'!G3</f>
      </c>
      <c r="D27">
        <f>IF(ISERROR(C27),LEFT(B27&amp;"",1)="#",IF(ISNUMBER(C27),AND(ISNUMBER(B27),ABS(C27-B27)&lt;=0.000001*MAX(1,ABS(B27))),EXACT(C27&amp;"",B27&amp;"")))</f>
      </c>
      <c r="E27">
        <f>ISERROR(C27)</f>
      </c>
    </row>
    <row r="28">
      <c r="A28" t="str">
        <v>G4</v>
      </c>
      <c r="B28" t="str">
        <v>NGHICH BIEN</v>
      </c>
      <c r="C28">
        <f>'toan8'!G4</f>
      </c>
      <c r="D28">
        <f>IF(ISERROR(C28),LEFT(B28&amp;"",1)="#",IF(ISNUMBER(C28),AND(ISNUMBER(B28),ABS(C28-B28)&lt;=0.000001*MAX(1,ABS(B28))),EXACT(C28&amp;"",B28&amp;"")))</f>
      </c>
      <c r="E28">
        <f>ISERROR(C28)</f>
      </c>
    </row>
    <row r="29">
      <c r="A29" t="str">
        <v>G5</v>
      </c>
      <c r="B29" t="str">
        <v>DONG BIEN</v>
      </c>
      <c r="C29">
        <f>'toan8'!G5</f>
      </c>
      <c r="D29">
        <f>IF(ISERROR(C29),LEFT(B29&amp;"",1)="#",IF(ISNUMBER(C29),AND(ISNUMBER(B29),ABS(C29-B29)&lt;=0.000001*MAX(1,ABS(B29))),EXACT(C29&amp;"",B29&amp;"")))</f>
      </c>
      <c r="E29">
        <f>ISERROR(C29)</f>
      </c>
    </row>
    <row r="30">
      <c r="A30" t="str">
        <v>G6</v>
      </c>
      <c r="B30" t="str">
        <v>NGHICH BIEN</v>
      </c>
      <c r="C30">
        <f>'toan8'!G6</f>
      </c>
      <c r="D30">
        <f>IF(ISERROR(C30),LEFT(B30&amp;"",1)="#",IF(ISNUMBER(C30),AND(ISNUMBER(B30),ABS(C30-B30)&lt;=0.000001*MAX(1,ABS(B30))),EXACT(C30&amp;"",B30&amp;"")))</f>
      </c>
      <c r="E30">
        <f>ISERROR(C30)</f>
      </c>
    </row>
    <row r="31">
      <c r="A31" t="str">
        <v>G7</v>
      </c>
      <c r="B31" t="str">
        <v>DONG BIEN</v>
      </c>
      <c r="C31">
        <f>'toan8'!G7</f>
      </c>
      <c r="D31">
        <f>IF(ISERROR(C31),LEFT(B31&amp;"",1)="#",IF(ISNUMBER(C31),AND(ISNUMBER(B31),ABS(C31-B31)&lt;=0.000001*MAX(1,ABS(B31))),EXACT(C31&amp;"",B31&amp;"")))</f>
      </c>
      <c r="E31">
        <f>ISERROR(C31)</f>
      </c>
    </row>
    <row r="32">
      <c r="A32" t="str">
        <v>G8</v>
      </c>
      <c r="B32" t="str">
        <v>DONG BIEN</v>
      </c>
      <c r="C32">
        <f>'toan8'!G8</f>
      </c>
      <c r="D32">
        <f>IF(ISERROR(C32),LEFT(B32&amp;"",1)="#",IF(ISNUMBER(C32),AND(ISNUMBER(B32),ABS(C32-B32)&lt;=0.000001*MAX(1,ABS(B32))),EXACT(C32&amp;"",B32&amp;"")))</f>
      </c>
      <c r="E32">
        <f>ISERROR(C32)</f>
      </c>
    </row>
    <row r="33">
      <c r="A33" t="str">
        <v>G9</v>
      </c>
      <c r="B33" t="str">
        <v>DONG BIEN</v>
      </c>
      <c r="C33">
        <f>'toan8'!G9</f>
      </c>
      <c r="D33">
        <f>IF(ISERROR(C33),LEFT(B33&amp;"",1)="#",IF(ISNUMBER(C33),AND(ISNUMBER(B33),ABS(C33-B33)&lt;=0.000001*MAX(1,ABS(B33))),EXACT(C33&amp;"",B33&amp;"")))</f>
      </c>
      <c r="E33">
        <f>ISERROR(C33)</f>
      </c>
    </row>
    <row r="34">
      <c r="A34" t="str">
        <v>G10</v>
      </c>
      <c r="B34" t="str">
        <v>NGHICH BIEN</v>
      </c>
      <c r="C34">
        <f>'toan8'!G10</f>
      </c>
      <c r="D34">
        <f>IF(ISERROR(C34),LEFT(B34&amp;"",1)="#",IF(ISNUMBER(C34),AND(ISNUMBER(B34),ABS(C34-B34)&lt;=0.000001*MAX(1,ABS(B34))),EXACT(C34&amp;"",B34&amp;"")))</f>
      </c>
      <c r="E34">
        <f>ISERROR(C34)</f>
      </c>
    </row>
    <row r="35">
      <c r="A35" t="str">
        <v>G11</v>
      </c>
      <c r="B35" t="str">
        <v>NGHICH BIEN</v>
      </c>
      <c r="C35">
        <f>'toan8'!G11</f>
      </c>
      <c r="D35">
        <f>IF(ISERROR(C35),LEFT(B35&amp;"",1)="#",IF(ISNUMBER(C35),AND(ISNUMBER(B35),ABS(C35-B35)&lt;=0.000001*MAX(1,ABS(B35))),EXACT(C35&amp;"",B35&amp;"")))</f>
      </c>
      <c r="E35">
        <f>ISERROR(C35)</f>
      </c>
    </row>
    <row r="36">
      <c r="A36" t="str">
        <v>G12</v>
      </c>
      <c r="B36" t="str">
        <v>DONG BIEN</v>
      </c>
      <c r="C36">
        <f>'toan8'!G12</f>
      </c>
      <c r="D36">
        <f>IF(ISERROR(C36),LEFT(B36&amp;"",1)="#",IF(ISNUMBER(C36),AND(ISNUMBER(B36),ABS(C36-B36)&lt;=0.000001*MAX(1,ABS(B36))),EXACT(C36&amp;"",B36&amp;"")))</f>
      </c>
      <c r="E36">
        <f>ISERROR(C36)</f>
      </c>
    </row>
    <row r="37">
      <c r="A37" t="str">
        <v>G13</v>
      </c>
      <c r="B37" t="str">
        <v>DONG BIEN</v>
      </c>
      <c r="C37">
        <f>'toan8'!G13</f>
      </c>
      <c r="D37">
        <f>IF(ISERROR(C37),LEFT(B37&amp;"",1)="#",IF(ISNUMBER(C37),AND(ISNUMBER(B37),ABS(C37-B37)&lt;=0.000001*MAX(1,ABS(B37))),EXACT(C37&amp;"",B37&amp;"")))</f>
      </c>
      <c r="E37">
        <f>ISERROR(C37)</f>
      </c>
    </row>
    <row r="38">
      <c r="A38" t="str">
        <v>H2</v>
      </c>
      <c r="B38" t="str">
        <v>KHONG</v>
      </c>
      <c r="C38">
        <f>'toan8'!H2</f>
      </c>
      <c r="D38">
        <f>IF(ISERROR(C38),LEFT(B38&amp;"",1)="#",IF(ISNUMBER(C38),AND(ISNUMBER(B38),ABS(C38-B38)&lt;=0.000001*MAX(1,ABS(B38))),EXACT(C38&amp;"",B38&amp;"")))</f>
      </c>
      <c r="E38">
        <f>ISERROR(C38)</f>
      </c>
    </row>
    <row r="39">
      <c r="A39" t="str">
        <v>H3</v>
      </c>
      <c r="B39" t="str">
        <v>KHONG</v>
      </c>
      <c r="C39">
        <f>'toan8'!H3</f>
      </c>
      <c r="D39">
        <f>IF(ISERROR(C39),LEFT(B39&amp;"",1)="#",IF(ISNUMBER(C39),AND(ISNUMBER(B39),ABS(C39-B39)&lt;=0.000001*MAX(1,ABS(B39))),EXACT(C39&amp;"",B39&amp;"")))</f>
      </c>
      <c r="E39">
        <f>ISERROR(C39)</f>
      </c>
    </row>
    <row r="40">
      <c r="A40" t="str">
        <v>H4</v>
      </c>
      <c r="B40" t="str">
        <v>KHONG</v>
      </c>
      <c r="C40">
        <f>'toan8'!H4</f>
      </c>
      <c r="D40">
        <f>IF(ISERROR(C40),LEFT(B40&amp;"",1)="#",IF(ISNUMBER(C40),AND(ISNUMBER(B40),ABS(C40-B40)&lt;=0.000001*MAX(1,ABS(B40))),EXACT(C40&amp;"",B40&amp;"")))</f>
      </c>
      <c r="E40">
        <f>ISERROR(C40)</f>
      </c>
    </row>
    <row r="41">
      <c r="A41" t="str">
        <v>H5</v>
      </c>
      <c r="B41" t="str">
        <v>KHONG</v>
      </c>
      <c r="C41">
        <f>'toan8'!H5</f>
      </c>
      <c r="D41">
        <f>IF(ISERROR(C41),LEFT(B41&amp;"",1)="#",IF(ISNUMBER(C41),AND(ISNUMBER(B41),ABS(C41-B41)&lt;=0.000001*MAX(1,ABS(B41))),EXACT(C41&amp;"",B41&amp;"")))</f>
      </c>
      <c r="E41">
        <f>ISERROR(C41)</f>
      </c>
    </row>
    <row r="42">
      <c r="A42" t="str">
        <v>H6</v>
      </c>
      <c r="B42" t="str">
        <v>KHONG</v>
      </c>
      <c r="C42">
        <f>'toan8'!H6</f>
      </c>
      <c r="D42">
        <f>IF(ISERROR(C42),LEFT(B42&amp;"",1)="#",IF(ISNUMBER(C42),AND(ISNUMBER(B42),ABS(C42-B42)&lt;=0.000001*MAX(1,ABS(B42))),EXACT(C42&amp;"",B42&amp;"")))</f>
      </c>
      <c r="E42">
        <f>ISERROR(C42)</f>
      </c>
    </row>
    <row r="43">
      <c r="A43" t="str">
        <v>H7</v>
      </c>
      <c r="B43" t="str">
        <v>KHONG</v>
      </c>
      <c r="C43">
        <f>'toan8'!H7</f>
      </c>
      <c r="D43">
        <f>IF(ISERROR(C43),LEFT(B43&amp;"",1)="#",IF(ISNUMBER(C43),AND(ISNUMBER(B43),ABS(C43-B43)&lt;=0.000001*MAX(1,ABS(B43))),EXACT(C43&amp;"",B43&amp;"")))</f>
      </c>
      <c r="E43">
        <f>ISERROR(C43)</f>
      </c>
    </row>
    <row r="44">
      <c r="A44" t="str">
        <v>H8</v>
      </c>
      <c r="B44" t="str">
        <v>KHONG</v>
      </c>
      <c r="C44">
        <f>'toan8'!H8</f>
      </c>
      <c r="D44">
        <f>IF(ISERROR(C44),LEFT(B44&amp;"",1)="#",IF(ISNUMBER(C44),AND(ISNUMBER(B44),ABS(C44-B44)&lt;=0.000001*MAX(1,ABS(B44))),EXACT(C44&amp;"",B44&amp;"")))</f>
      </c>
      <c r="E44">
        <f>ISERROR(C44)</f>
      </c>
    </row>
    <row r="45">
      <c r="A45" t="str">
        <v>H9</v>
      </c>
      <c r="B45" t="str">
        <v>KHONG</v>
      </c>
      <c r="C45">
        <f>'toan8'!H9</f>
      </c>
      <c r="D45">
        <f>IF(ISERROR(C45),LEFT(B45&amp;"",1)="#",IF(ISNUMBER(C45),AND(ISNUMBER(B45),ABS(C45-B45)&lt;=0.000001*MAX(1,ABS(B45))),EXACT(C45&amp;"",B45&amp;"")))</f>
      </c>
      <c r="E45">
        <f>ISERROR(C45)</f>
      </c>
    </row>
    <row r="46">
      <c r="A46" t="str">
        <v>H10</v>
      </c>
      <c r="B46" t="str">
        <v>KHONG</v>
      </c>
      <c r="C46">
        <f>'toan8'!H10</f>
      </c>
      <c r="D46">
        <f>IF(ISERROR(C46),LEFT(B46&amp;"",1)="#",IF(ISNUMBER(C46),AND(ISNUMBER(B46),ABS(C46-B46)&lt;=0.000001*MAX(1,ABS(B46))),EXACT(C46&amp;"",B46&amp;"")))</f>
      </c>
      <c r="E46">
        <f>ISERROR(C46)</f>
      </c>
    </row>
    <row r="47">
      <c r="A47" t="str">
        <v>H11</v>
      </c>
      <c r="B47" t="str">
        <v>KHONG</v>
      </c>
      <c r="C47">
        <f>'toan8'!H11</f>
      </c>
      <c r="D47">
        <f>IF(ISERROR(C47),LEFT(B47&amp;"",1)="#",IF(ISNUMBER(C47),AND(ISNUMBER(B47),ABS(C47-B47)&lt;=0.000001*MAX(1,ABS(B47))),EXACT(C47&amp;"",B47&amp;"")))</f>
      </c>
      <c r="E47">
        <f>ISERROR(C47)</f>
      </c>
    </row>
    <row r="48">
      <c r="A48" t="str">
        <v>H12</v>
      </c>
      <c r="B48" t="str">
        <v>KHONG</v>
      </c>
      <c r="C48">
        <f>'toan8'!H12</f>
      </c>
      <c r="D48">
        <f>IF(ISERROR(C48),LEFT(B48&amp;"",1)="#",IF(ISNUMBER(C48),AND(ISNUMBER(B48),ABS(C48-B48)&lt;=0.000001*MAX(1,ABS(B48))),EXACT(C48&amp;"",B48&amp;"")))</f>
      </c>
      <c r="E48">
        <f>ISERROR(C48)</f>
      </c>
    </row>
    <row r="49">
      <c r="A49" t="str">
        <v>H13</v>
      </c>
      <c r="B49" t="str">
        <v>KHONG</v>
      </c>
      <c r="C49">
        <f>'toan8'!H13</f>
      </c>
      <c r="D49">
        <f>IF(ISERROR(C49),LEFT(B49&amp;"",1)="#",IF(ISNUMBER(C49),AND(ISNUMBER(B49),ABS(C49-B49)&lt;=0.000001*MAX(1,ABS(B49))),EXACT(C49&amp;"",B49&amp;"")))</f>
      </c>
      <c r="E49">
        <f>ISERROR(C49)</f>
      </c>
    </row>
    <row r="50">
      <c r="A50" t="str">
        <v>Z2</v>
      </c>
      <c r="B50" t="str">
        <v>DT11</v>
      </c>
      <c r="C50">
        <f>'toan8'!Z2</f>
      </c>
      <c r="D50">
        <f>IF(ISERROR(C50),LEFT(B50&amp;"",1)="#",IF(ISNUMBER(C50),AND(ISNUMBER(B50),ABS(C50-B50)&lt;=0.000001*MAX(1,ABS(B50))),EXACT(C50&amp;"",B50&amp;"")))</f>
      </c>
      <c r="E50">
        <f>ISERROR(C50)</f>
      </c>
    </row>
    <row r="51">
      <c r="A51" t="str">
        <v>Z3</v>
      </c>
      <c r="B51">
        <v>58</v>
      </c>
      <c r="C51">
        <f>'toan8'!Z3</f>
      </c>
      <c r="D51">
        <f>IF(ISERROR(C51),LEFT(B51&amp;"",1)="#",IF(ISNUMBER(C51),AND(ISNUMBER(B51),ABS(C51-B51)&lt;=0.000001*MAX(1,ABS(B51))),EXACT(C51&amp;"",B51&amp;"")))</f>
      </c>
      <c r="E51">
        <f>ISERROR(C51)</f>
      </c>
    </row>
    <row r="52">
      <c r="A52" t="str">
        <v>Z4</v>
      </c>
      <c r="B52">
        <v>3</v>
      </c>
      <c r="C52">
        <f>'toan8'!Z4</f>
      </c>
      <c r="D52">
        <f>IF(ISERROR(C52),LEFT(B52&amp;"",1)="#",IF(ISNUMBER(C52),AND(ISNUMBER(B52),ABS(C52-B52)&lt;=0.000001*MAX(1,ABS(B52))),EXACT(C52&amp;"",B52&amp;"")))</f>
      </c>
      <c r="E52">
        <f>ISERROR(C52)</f>
      </c>
    </row>
    <row r="53">
      <c r="A53" t="str">
        <v>Z5</v>
      </c>
      <c r="B53">
        <v>0.1571428571428572</v>
      </c>
      <c r="C53">
        <f>'toan8'!Z5</f>
      </c>
      <c r="D53">
        <f>IF(ISERROR(C53),LEFT(B53&amp;"",1)="#",IF(ISNUMBER(C53),AND(ISNUMBER(B53),ABS(C53-B53)&lt;=0.000001*MAX(1,ABS(B53))),EXACT(C53&amp;"",B53&amp;"")))</f>
      </c>
      <c r="E53">
        <f>ISERROR(C53)</f>
      </c>
    </row>
    <row r="54">
      <c r="A54" t="str">
        <v>Z6</v>
      </c>
      <c r="B54">
        <v>18</v>
      </c>
      <c r="C54">
        <f>'toan8'!Z6</f>
      </c>
      <c r="D54">
        <f>IF(ISERROR(C54),LEFT(B54&amp;"",1)="#",IF(ISNUMBER(C54),AND(ISNUMBER(B54),ABS(C54-B54)&lt;=0.000001*MAX(1,ABS(B54))),EXACT(C54&amp;"",B54&amp;"")))</f>
      </c>
      <c r="E54">
        <f>ISERROR(C54)</f>
      </c>
    </row>
    <row r="55">
      <c r="A55" t="str">
        <v>Z7</v>
      </c>
      <c r="B55">
        <v>3.5</v>
      </c>
      <c r="C55">
        <f>'toan8'!Z7</f>
      </c>
      <c r="D55">
        <f>IF(ISERROR(C55),LEFT(B55&amp;"",1)="#",IF(ISNUMBER(C55),AND(ISNUMBER(B55),ABS(C55-B55)&lt;=0.000001*MAX(1,ABS(B55))),EXACT(C55&amp;"",B55&amp;"")))</f>
      </c>
      <c r="E55">
        <f>ISERROR(C55)</f>
      </c>
    </row>
    <row r="56">
      <c r="A56" t="str">
        <v>Z8</v>
      </c>
      <c r="B56">
        <v>24</v>
      </c>
      <c r="C56">
        <f>'toan8'!Z8</f>
      </c>
      <c r="D56">
        <f>IF(ISERROR(C56),LEFT(B56&amp;"",1)="#",IF(ISNUMBER(C56),AND(ISNUMBER(B56),ABS(C56-B56)&lt;=0.000001*MAX(1,ABS(B56))),EXACT(C56&amp;"",B56&amp;"")))</f>
      </c>
      <c r="E56">
        <f>ISERROR(C56)</f>
      </c>
    </row>
    <row r="57">
      <c r="A57" t="str">
        <v>Z9</v>
      </c>
      <c r="B57">
        <v>1.54</v>
      </c>
      <c r="C57">
        <f>'toan8'!Z9</f>
      </c>
      <c r="D57">
        <f>IF(ISERROR(C57),LEFT(B57&amp;"",1)="#",IF(ISNUMBER(C57),AND(ISNUMBER(B57),ABS(C57-B57)&lt;=0.000001*MAX(1,ABS(B57))),EXACT(C57&amp;"",B57&amp;"")))</f>
      </c>
      <c r="E57">
        <f>ISERROR(C57)</f>
      </c>
    </row>
    <row r="58">
      <c r="A58" t="str">
        <v>Z10</v>
      </c>
      <c r="B58">
        <v>58</v>
      </c>
      <c r="C58">
        <f>'toan8'!Z10</f>
      </c>
      <c r="D58">
        <f>IF(ISERROR(C58),LEFT(B58&amp;"",1)="#",IF(ISNUMBER(C58),AND(ISNUMBER(B58),ABS(C58-B58)&lt;=0.000001*MAX(1,ABS(B58))),EXACT(C58&amp;"",B58&amp;"")))</f>
      </c>
      <c r="E58">
        <f>ISERROR(C58)</f>
      </c>
    </row>
    <row r="59">
      <c r="A59" t="str">
        <v>Z11</v>
      </c>
      <c r="B59">
        <v>7</v>
      </c>
      <c r="C59">
        <f>'toan8'!Z11</f>
      </c>
      <c r="D59">
        <f>IF(ISERROR(C59),LEFT(B59&amp;"",1)="#",IF(ISNUMBER(C59),AND(ISNUMBER(B59),ABS(C59-B59)&lt;=0.000001*MAX(1,ABS(B59))),EXACT(C59&amp;"",B59&amp;"")))</f>
      </c>
      <c r="E59">
        <f>ISERROR(C59)</f>
      </c>
    </row>
    <row r="60">
      <c r="A60" t="str">
        <v>Z12</v>
      </c>
      <c r="B60">
        <v>58</v>
      </c>
      <c r="C60">
        <f>'toan8'!Z12</f>
      </c>
      <c r="D60">
        <f>IF(ISERROR(C60),LEFT(B60&amp;"",1)="#",IF(ISNUMBER(C60),AND(ISNUMBER(B60),ABS(C60-B60)&lt;=0.000001*MAX(1,ABS(B60))),EXACT(C60&amp;"",B60&amp;"")))</f>
      </c>
      <c r="E60">
        <f>ISERROR(C60)</f>
      </c>
    </row>
    <row r="61">
      <c r="A61" t="str">
        <v>Z13</v>
      </c>
      <c r="B61">
        <v>41</v>
      </c>
      <c r="C61">
        <f>'toan8'!Z13</f>
      </c>
      <c r="D61">
        <f>IF(ISERROR(C61),LEFT(B61&amp;"",1)="#",IF(ISNUMBER(C61),AND(ISNUMBER(B61),ABS(C61-B61)&lt;=0.000001*MAX(1,ABS(B61))),EXACT(C61&amp;"",B61&amp;"")))</f>
      </c>
      <c r="E61">
        <f>ISERROR(C61)</f>
      </c>
    </row>
  </sheetData>
  <ignoredErrors>
    <ignoredError numberStoredAsText="1" sqref="A1:E61"/>
  </ignoredErrors>
</worksheet>
</file>

<file path=xl/worksheets/sheet1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MaDay</v>
      </c>
      <c r="B1" t="str">
        <v>VatLieu</v>
      </c>
      <c r="C1" t="str">
        <v>ChieuDai</v>
      </c>
      <c r="D1" t="str">
        <v>TietDien</v>
      </c>
      <c r="E1" t="str">
        <v>U</v>
      </c>
      <c r="F1" t="str">
        <v>Rho</v>
      </c>
      <c r="G1" t="str">
        <v>R</v>
      </c>
      <c r="H1" t="str">
        <v>I</v>
      </c>
      <c r="I1" t="str">
        <v>P</v>
      </c>
      <c r="J1" t="str">
        <v>Q</v>
      </c>
      <c r="R1" t="str">
        <v>VatLieu</v>
      </c>
      <c r="S1" t="str">
        <v>Rho</v>
      </c>
      <c r="W1" t="str">
        <v>VatLieu</v>
      </c>
      <c r="Y1" t="str">
        <v>TongHop</v>
      </c>
      <c r="Z1" t="str">
        <v>KetQua</v>
      </c>
    </row>
    <row r="2">
      <c r="A2" t="str">
        <v>DAY01</v>
      </c>
      <c r="B2" t="str">
        <v>DONG</v>
      </c>
      <c r="C2">
        <v>74</v>
      </c>
      <c r="D2">
        <v>1.5</v>
      </c>
      <c r="E2">
        <v>12</v>
      </c>
      <c r="F2">
        <f>VLOOKUP(B2,$R$2:$S$4,2,FALSE)</f>
        <v>1.7</v>
      </c>
      <c r="G2">
        <f>F2*C2/(D2*100)</f>
        <v>0.8386666666666667</v>
      </c>
      <c r="H2">
        <f>ROUND(E2/G2,2)</f>
        <v>14.31</v>
      </c>
      <c r="I2">
        <f>ROUND(E2^2/G2,2)</f>
        <v>171.7</v>
      </c>
      <c r="J2">
        <f>ROUND(E2^2/G2*60,0)</f>
        <v>10302</v>
      </c>
      <c r="R2" t="str">
        <v>DONG</v>
      </c>
      <c r="S2">
        <v>1.7</v>
      </c>
      <c r="W2" t="str">
        <v>DONG</v>
      </c>
      <c r="Y2" t="str">
        <v>Ma MaDay co R lon nhat</v>
      </c>
      <c r="Z2" t="str">
        <f>INDEX(A2:A13,MATCH(MAX(G2:G13),G2:G13,0))</f>
        <v>DAY06</v>
      </c>
    </row>
    <row r="3">
      <c r="A3" t="str">
        <v>DAY02</v>
      </c>
      <c r="B3" t="str">
        <v>NHOM</v>
      </c>
      <c r="C3">
        <v>24</v>
      </c>
      <c r="D3">
        <v>0.5</v>
      </c>
      <c r="E3">
        <v>24</v>
      </c>
      <c r="F3">
        <f>VLOOKUP(B3,$R$2:$S$4,2,FALSE)</f>
        <v>2.8</v>
      </c>
      <c r="G3">
        <f>F3*C3/(D3*100)</f>
        <v>1.3439999999999999</v>
      </c>
      <c r="H3">
        <f>ROUND(E3/G3,2)</f>
        <v>17.86</v>
      </c>
      <c r="I3">
        <f>ROUND(E3^2/G3,2)</f>
        <v>428.57</v>
      </c>
      <c r="J3">
        <f>ROUND(E3^2/G3*60,0)</f>
        <v>25714</v>
      </c>
      <c r="R3" t="str">
        <v>NHOM</v>
      </c>
      <c r="S3">
        <v>2.8</v>
      </c>
      <c r="Y3" t="str">
        <v>Tong P khi VatLieu = DONG</v>
      </c>
      <c r="Z3">
        <f>SUMIF(B2:B13,"DONG",I2:I13)</f>
        <v>413.72</v>
      </c>
    </row>
    <row r="4">
      <c r="A4" t="str">
        <v>DAY03</v>
      </c>
      <c r="B4" t="str">
        <v>SAT</v>
      </c>
      <c r="C4">
        <v>20</v>
      </c>
      <c r="D4">
        <v>2.5</v>
      </c>
      <c r="E4">
        <v>6</v>
      </c>
      <c r="F4">
        <f>VLOOKUP(B4,$R$2:$S$4,2,FALSE)</f>
        <v>10</v>
      </c>
      <c r="G4">
        <f>F4*C4/(D4*100)</f>
        <v>0.8</v>
      </c>
      <c r="H4">
        <f>ROUND(E4/G4,2)</f>
        <v>7.5</v>
      </c>
      <c r="I4">
        <f>ROUND(E4^2/G4,2)</f>
        <v>45</v>
      </c>
      <c r="J4">
        <f>ROUND(E4^2/G4*60,0)</f>
        <v>2700</v>
      </c>
      <c r="R4" t="str">
        <v>SAT</v>
      </c>
      <c r="S4">
        <v>10</v>
      </c>
      <c r="Y4" t="str">
        <v>So dong VatLieu = NHOM, I &gt;=1</v>
      </c>
      <c r="Z4">
        <f>COUNTIFS(B2:B13,"NHOM",H2:H13,"&gt;=1")</f>
        <v>2</v>
      </c>
    </row>
    <row r="5">
      <c r="A5" t="str">
        <v>DAY04</v>
      </c>
      <c r="B5" t="str">
        <v>SAT</v>
      </c>
      <c r="C5">
        <v>71</v>
      </c>
      <c r="D5">
        <v>1</v>
      </c>
      <c r="E5">
        <v>12</v>
      </c>
      <c r="F5">
        <f>VLOOKUP(B5,$R$2:$S$4,2,FALSE)</f>
        <v>10</v>
      </c>
      <c r="G5">
        <f>F5*C5/(D5*100)</f>
        <v>7.1</v>
      </c>
      <c r="H5">
        <f>ROUND(E5/G5,2)</f>
        <v>1.69</v>
      </c>
      <c r="I5">
        <f>ROUND(E5^2/G5,2)</f>
        <v>20.28</v>
      </c>
      <c r="J5">
        <f>ROUND(E5^2/G5*60,0)</f>
        <v>1217</v>
      </c>
      <c r="Y5" t="str">
        <v>R trung binh khi VatLieu = SAT</v>
      </c>
      <c r="Z5">
        <f>AVERAGEIF(B2:B13,"SAT",G2:G13)</f>
        <v>4.507083333333333</v>
      </c>
    </row>
    <row r="6">
      <c r="A6" t="str">
        <v>DAY05</v>
      </c>
      <c r="B6" t="str">
        <v>SAT</v>
      </c>
      <c r="C6">
        <v>81</v>
      </c>
      <c r="D6">
        <v>2.5</v>
      </c>
      <c r="E6">
        <v>6</v>
      </c>
      <c r="F6">
        <f>VLOOKUP(B6,$R$2:$S$4,2,FALSE)</f>
        <v>10</v>
      </c>
      <c r="G6">
        <f>F6*C6/(D6*100)</f>
        <v>3.24</v>
      </c>
      <c r="H6">
        <f>ROUND(E6/G6,2)</f>
        <v>1.85</v>
      </c>
      <c r="I6">
        <f>ROUND(E6^2/G6,2)</f>
        <v>11.11</v>
      </c>
      <c r="J6">
        <f>ROUND(E6^2/G6*60,0)</f>
        <v>667</v>
      </c>
      <c r="Y6" t="str">
        <v>Q lon nhat khi VatLieu = DONG</v>
      </c>
      <c r="Z6">
        <f>_xlfn.MAXIFS(J2:J13,B2:B13,"DONG")</f>
        <v>14521</v>
      </c>
    </row>
    <row r="7">
      <c r="A7" t="str">
        <v>DAY06</v>
      </c>
      <c r="B7" t="str">
        <v>SAT</v>
      </c>
      <c r="C7">
        <v>89</v>
      </c>
      <c r="D7">
        <v>1</v>
      </c>
      <c r="E7">
        <v>24</v>
      </c>
      <c r="F7">
        <f>VLOOKUP(B7,$R$2:$S$4,2,FALSE)</f>
        <v>10</v>
      </c>
      <c r="G7">
        <f>F7*C7/(D7*100)</f>
        <v>8.9</v>
      </c>
      <c r="H7">
        <f>ROUND(E7/G7,2)</f>
        <v>2.7</v>
      </c>
      <c r="I7">
        <f>ROUND(E7^2/G7,2)</f>
        <v>64.72</v>
      </c>
      <c r="J7">
        <f>ROUND(E7^2/G7*60,0)</f>
        <v>3883</v>
      </c>
      <c r="Y7" t="str">
        <v>R trung vi</v>
      </c>
      <c r="Z7">
        <f>MEDIAN(G2:G13)</f>
        <v>2.8533333333333335</v>
      </c>
    </row>
    <row r="8">
      <c r="A8" t="str">
        <v>DAY07</v>
      </c>
      <c r="B8" t="str">
        <v>SAT</v>
      </c>
      <c r="C8">
        <v>37</v>
      </c>
      <c r="D8">
        <v>1.5</v>
      </c>
      <c r="E8">
        <v>6</v>
      </c>
      <c r="F8">
        <f>VLOOKUP(B8,$R$2:$S$4,2,FALSE)</f>
        <v>10</v>
      </c>
      <c r="G8">
        <f>F8*C8/(D8*100)</f>
        <v>2.466666666666667</v>
      </c>
      <c r="H8">
        <f>ROUND(E8/G8,2)</f>
        <v>2.43</v>
      </c>
      <c r="I8">
        <f>ROUND(E8^2/G8,2)</f>
        <v>14.59</v>
      </c>
      <c r="J8">
        <f>ROUND(E8^2/G8*60,0)</f>
        <v>876</v>
      </c>
      <c r="Y8" t="str">
        <v>R lon thu hai</v>
      </c>
      <c r="Z8">
        <f>LARGE(G2:G13,2)</f>
        <v>7.1</v>
      </c>
    </row>
    <row r="9">
      <c r="A9" t="str">
        <v>DAY08</v>
      </c>
      <c r="B9" t="str">
        <v>NHOM</v>
      </c>
      <c r="C9">
        <v>31</v>
      </c>
      <c r="D9">
        <v>1</v>
      </c>
      <c r="E9">
        <v>12</v>
      </c>
      <c r="F9">
        <f>VLOOKUP(B9,$R$2:$S$4,2,FALSE)</f>
        <v>2.8</v>
      </c>
      <c r="G9">
        <f>F9*C9/(D9*100)</f>
        <v>0.868</v>
      </c>
      <c r="H9">
        <f>ROUND(E9/G9,2)</f>
        <v>13.82</v>
      </c>
      <c r="I9">
        <f>ROUND(E9^2/G9,2)</f>
        <v>165.9</v>
      </c>
      <c r="J9">
        <f>ROUND(E9^2/G9*60,0)</f>
        <v>9954</v>
      </c>
      <c r="Y9" t="str">
        <v>Do lech chuan I</v>
      </c>
      <c r="Z9">
        <f>ROUND(STDEV(H2:H13),2)</f>
        <v>5.84</v>
      </c>
    </row>
    <row r="10">
      <c r="A10" t="str">
        <v>DAY09</v>
      </c>
      <c r="B10" t="str">
        <v>SAT</v>
      </c>
      <c r="C10">
        <v>100</v>
      </c>
      <c r="D10">
        <v>2</v>
      </c>
      <c r="E10">
        <v>24</v>
      </c>
      <c r="F10">
        <f>VLOOKUP(B10,$R$2:$S$4,2,FALSE)</f>
        <v>10</v>
      </c>
      <c r="G10">
        <f>F10*C10/(D10*100)</f>
        <v>5</v>
      </c>
      <c r="H10">
        <f>ROUND(E10/G10,2)</f>
        <v>4.8</v>
      </c>
      <c r="I10">
        <f>ROUND(E10^2/G10,2)</f>
        <v>115.2</v>
      </c>
      <c r="J10">
        <f>ROUND(E10^2/G10*60,0)</f>
        <v>6912</v>
      </c>
      <c r="Y10" t="str">
        <v>Tong P theo tieu chi W1:W2</v>
      </c>
      <c r="Z10">
        <f>DSUM(A1:J13,"P",W1:W2)</f>
        <v>413.72</v>
      </c>
    </row>
    <row r="11">
      <c r="A11" t="str">
        <v>DAY10</v>
      </c>
      <c r="B11" t="str">
        <v>SAT</v>
      </c>
      <c r="C11">
        <v>95</v>
      </c>
      <c r="D11">
        <v>2</v>
      </c>
      <c r="E11">
        <v>12</v>
      </c>
      <c r="F11">
        <f>VLOOKUP(B11,$R$2:$S$4,2,FALSE)</f>
        <v>10</v>
      </c>
      <c r="G11">
        <f>F11*C11/(D11*100)</f>
        <v>4.75</v>
      </c>
      <c r="H11">
        <f>ROUND(E11/G11,2)</f>
        <v>2.53</v>
      </c>
      <c r="I11">
        <f>ROUND(E11^2/G11,2)</f>
        <v>30.32</v>
      </c>
      <c r="J11">
        <f>ROUND(E11^2/G11*60,0)</f>
        <v>1819</v>
      </c>
      <c r="Y11" t="str">
        <v>So dong theo tieu chi W1:W2</v>
      </c>
      <c r="Z11">
        <f>DCOUNT(A1:J13,"P",W1:W2)</f>
        <v>2</v>
      </c>
    </row>
    <row r="12">
      <c r="A12" t="str">
        <v>DAY11</v>
      </c>
      <c r="B12" t="str">
        <v>SAT</v>
      </c>
      <c r="C12">
        <v>38</v>
      </c>
      <c r="D12">
        <v>1</v>
      </c>
      <c r="E12">
        <v>6</v>
      </c>
      <c r="F12">
        <f>VLOOKUP(B12,$R$2:$S$4,2,FALSE)</f>
        <v>10</v>
      </c>
      <c r="G12">
        <f>F12*C12/(D12*100)</f>
        <v>3.8</v>
      </c>
      <c r="H12">
        <f>ROUND(E12/G12,2)</f>
        <v>1.58</v>
      </c>
      <c r="I12">
        <f>ROUND(E12^2/G12,2)</f>
        <v>9.47</v>
      </c>
      <c r="J12">
        <f>ROUND(E12^2/G12*60,0)</f>
        <v>568</v>
      </c>
      <c r="Y12" t="str">
        <v>Tong P khi VatLieu = DONG (SUMPRODUCT)</v>
      </c>
      <c r="Z12">
        <f>SUMPRODUCT((B2:B13="DONG")*I2:I13)</f>
        <v>413.72</v>
      </c>
    </row>
    <row r="13">
      <c r="A13" t="str">
        <v>DAY12</v>
      </c>
      <c r="B13" t="str">
        <v>DONG</v>
      </c>
      <c r="C13">
        <v>70</v>
      </c>
      <c r="D13">
        <v>0.5</v>
      </c>
      <c r="E13">
        <v>24</v>
      </c>
      <c r="F13">
        <f>VLOOKUP(B13,$R$2:$S$4,2,FALSE)</f>
        <v>1.7</v>
      </c>
      <c r="G13">
        <f>F13*C13/(D13*100)</f>
        <v>2.38</v>
      </c>
      <c r="H13">
        <f>ROUND(E13/G13,2)</f>
        <v>10.08</v>
      </c>
      <c r="I13">
        <f>ROUND(E13^2/G13,2)</f>
        <v>242.02</v>
      </c>
      <c r="J13">
        <f>ROUND(E13^2/G13*60,0)</f>
        <v>14521</v>
      </c>
      <c r="Y13" t="str">
        <v>Tong ChieuDai x TietDien</v>
      </c>
      <c r="Z13">
        <f>SUMPRODUCT(C2:C13,D2:D13)</f>
        <v>1085</v>
      </c>
    </row>
  </sheetData>
  <ignoredErrors>
    <ignoredError numberStoredAsText="1" sqref="A1:Z13"/>
  </ignoredErrors>
</worksheet>
</file>

<file path=xl/worksheets/sheet17.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1.7</v>
      </c>
      <c r="C2">
        <f>'khtn9'!F2</f>
      </c>
      <c r="D2">
        <f>IF(ISERROR(C2),LEFT(B2&amp;"",1)="#",IF(ISNUMBER(C2),AND(ISNUMBER(B2),ABS(C2-B2)&lt;=0.000001*MAX(1,ABS(B2))),EXACT(C2&amp;"",B2&amp;"")))</f>
      </c>
      <c r="E2">
        <f>ISERROR(C2)</f>
      </c>
    </row>
    <row r="3">
      <c r="A3" t="str">
        <v>F3</v>
      </c>
      <c r="B3">
        <v>2.8</v>
      </c>
      <c r="C3">
        <f>'khtn9'!F3</f>
      </c>
      <c r="D3">
        <f>IF(ISERROR(C3),LEFT(B3&amp;"",1)="#",IF(ISNUMBER(C3),AND(ISNUMBER(B3),ABS(C3-B3)&lt;=0.000001*MAX(1,ABS(B3))),EXACT(C3&amp;"",B3&amp;"")))</f>
      </c>
      <c r="E3">
        <f>ISERROR(C3)</f>
      </c>
    </row>
    <row r="4">
      <c r="A4" t="str">
        <v>F4</v>
      </c>
      <c r="B4">
        <v>10</v>
      </c>
      <c r="C4">
        <f>'khtn9'!F4</f>
      </c>
      <c r="D4">
        <f>IF(ISERROR(C4),LEFT(B4&amp;"",1)="#",IF(ISNUMBER(C4),AND(ISNUMBER(B4),ABS(C4-B4)&lt;=0.000001*MAX(1,ABS(B4))),EXACT(C4&amp;"",B4&amp;"")))</f>
      </c>
      <c r="E4">
        <f>ISERROR(C4)</f>
      </c>
    </row>
    <row r="5">
      <c r="A5" t="str">
        <v>F5</v>
      </c>
      <c r="B5">
        <v>10</v>
      </c>
      <c r="C5">
        <f>'khtn9'!F5</f>
      </c>
      <c r="D5">
        <f>IF(ISERROR(C5),LEFT(B5&amp;"",1)="#",IF(ISNUMBER(C5),AND(ISNUMBER(B5),ABS(C5-B5)&lt;=0.000001*MAX(1,ABS(B5))),EXACT(C5&amp;"",B5&amp;"")))</f>
      </c>
      <c r="E5">
        <f>ISERROR(C5)</f>
      </c>
    </row>
    <row r="6">
      <c r="A6" t="str">
        <v>F6</v>
      </c>
      <c r="B6">
        <v>10</v>
      </c>
      <c r="C6">
        <f>'khtn9'!F6</f>
      </c>
      <c r="D6">
        <f>IF(ISERROR(C6),LEFT(B6&amp;"",1)="#",IF(ISNUMBER(C6),AND(ISNUMBER(B6),ABS(C6-B6)&lt;=0.000001*MAX(1,ABS(B6))),EXACT(C6&amp;"",B6&amp;"")))</f>
      </c>
      <c r="E6">
        <f>ISERROR(C6)</f>
      </c>
    </row>
    <row r="7">
      <c r="A7" t="str">
        <v>F7</v>
      </c>
      <c r="B7">
        <v>10</v>
      </c>
      <c r="C7">
        <f>'khtn9'!F7</f>
      </c>
      <c r="D7">
        <f>IF(ISERROR(C7),LEFT(B7&amp;"",1)="#",IF(ISNUMBER(C7),AND(ISNUMBER(B7),ABS(C7-B7)&lt;=0.000001*MAX(1,ABS(B7))),EXACT(C7&amp;"",B7&amp;"")))</f>
      </c>
      <c r="E7">
        <f>ISERROR(C7)</f>
      </c>
    </row>
    <row r="8">
      <c r="A8" t="str">
        <v>F8</v>
      </c>
      <c r="B8">
        <v>10</v>
      </c>
      <c r="C8">
        <f>'khtn9'!F8</f>
      </c>
      <c r="D8">
        <f>IF(ISERROR(C8),LEFT(B8&amp;"",1)="#",IF(ISNUMBER(C8),AND(ISNUMBER(B8),ABS(C8-B8)&lt;=0.000001*MAX(1,ABS(B8))),EXACT(C8&amp;"",B8&amp;"")))</f>
      </c>
      <c r="E8">
        <f>ISERROR(C8)</f>
      </c>
    </row>
    <row r="9">
      <c r="A9" t="str">
        <v>F9</v>
      </c>
      <c r="B9">
        <v>2.8</v>
      </c>
      <c r="C9">
        <f>'khtn9'!F9</f>
      </c>
      <c r="D9">
        <f>IF(ISERROR(C9),LEFT(B9&amp;"",1)="#",IF(ISNUMBER(C9),AND(ISNUMBER(B9),ABS(C9-B9)&lt;=0.000001*MAX(1,ABS(B9))),EXACT(C9&amp;"",B9&amp;"")))</f>
      </c>
      <c r="E9">
        <f>ISERROR(C9)</f>
      </c>
    </row>
    <row r="10">
      <c r="A10" t="str">
        <v>F10</v>
      </c>
      <c r="B10">
        <v>10</v>
      </c>
      <c r="C10">
        <f>'khtn9'!F10</f>
      </c>
      <c r="D10">
        <f>IF(ISERROR(C10),LEFT(B10&amp;"",1)="#",IF(ISNUMBER(C10),AND(ISNUMBER(B10),ABS(C10-B10)&lt;=0.000001*MAX(1,ABS(B10))),EXACT(C10&amp;"",B10&amp;"")))</f>
      </c>
      <c r="E10">
        <f>ISERROR(C10)</f>
      </c>
    </row>
    <row r="11">
      <c r="A11" t="str">
        <v>F11</v>
      </c>
      <c r="B11">
        <v>10</v>
      </c>
      <c r="C11">
        <f>'khtn9'!F11</f>
      </c>
      <c r="D11">
        <f>IF(ISERROR(C11),LEFT(B11&amp;"",1)="#",IF(ISNUMBER(C11),AND(ISNUMBER(B11),ABS(C11-B11)&lt;=0.000001*MAX(1,ABS(B11))),EXACT(C11&amp;"",B11&amp;"")))</f>
      </c>
      <c r="E11">
        <f>ISERROR(C11)</f>
      </c>
    </row>
    <row r="12">
      <c r="A12" t="str">
        <v>F12</v>
      </c>
      <c r="B12">
        <v>10</v>
      </c>
      <c r="C12">
        <f>'khtn9'!F12</f>
      </c>
      <c r="D12">
        <f>IF(ISERROR(C12),LEFT(B12&amp;"",1)="#",IF(ISNUMBER(C12),AND(ISNUMBER(B12),ABS(C12-B12)&lt;=0.000001*MAX(1,ABS(B12))),EXACT(C12&amp;"",B12&amp;"")))</f>
      </c>
      <c r="E12">
        <f>ISERROR(C12)</f>
      </c>
    </row>
    <row r="13">
      <c r="A13" t="str">
        <v>F13</v>
      </c>
      <c r="B13">
        <v>1.7</v>
      </c>
      <c r="C13">
        <f>'khtn9'!F13</f>
      </c>
      <c r="D13">
        <f>IF(ISERROR(C13),LEFT(B13&amp;"",1)="#",IF(ISNUMBER(C13),AND(ISNUMBER(B13),ABS(C13-B13)&lt;=0.000001*MAX(1,ABS(B13))),EXACT(C13&amp;"",B13&amp;"")))</f>
      </c>
      <c r="E13">
        <f>ISERROR(C13)</f>
      </c>
    </row>
    <row r="14">
      <c r="A14" t="str">
        <v>G2</v>
      </c>
      <c r="B14">
        <v>0.8386666666666667</v>
      </c>
      <c r="C14">
        <f>'khtn9'!G2</f>
      </c>
      <c r="D14">
        <f>IF(ISERROR(C14),LEFT(B14&amp;"",1)="#",IF(ISNUMBER(C14),AND(ISNUMBER(B14),ABS(C14-B14)&lt;=0.000001*MAX(1,ABS(B14))),EXACT(C14&amp;"",B14&amp;"")))</f>
      </c>
      <c r="E14">
        <f>ISERROR(C14)</f>
      </c>
    </row>
    <row r="15">
      <c r="A15" t="str">
        <v>G3</v>
      </c>
      <c r="B15">
        <v>1.3439999999999999</v>
      </c>
      <c r="C15">
        <f>'khtn9'!G3</f>
      </c>
      <c r="D15">
        <f>IF(ISERROR(C15),LEFT(B15&amp;"",1)="#",IF(ISNUMBER(C15),AND(ISNUMBER(B15),ABS(C15-B15)&lt;=0.000001*MAX(1,ABS(B15))),EXACT(C15&amp;"",B15&amp;"")))</f>
      </c>
      <c r="E15">
        <f>ISERROR(C15)</f>
      </c>
    </row>
    <row r="16">
      <c r="A16" t="str">
        <v>G4</v>
      </c>
      <c r="B16">
        <v>0.8</v>
      </c>
      <c r="C16">
        <f>'khtn9'!G4</f>
      </c>
      <c r="D16">
        <f>IF(ISERROR(C16),LEFT(B16&amp;"",1)="#",IF(ISNUMBER(C16),AND(ISNUMBER(B16),ABS(C16-B16)&lt;=0.000001*MAX(1,ABS(B16))),EXACT(C16&amp;"",B16&amp;"")))</f>
      </c>
      <c r="E16">
        <f>ISERROR(C16)</f>
      </c>
    </row>
    <row r="17">
      <c r="A17" t="str">
        <v>G5</v>
      </c>
      <c r="B17">
        <v>7.1</v>
      </c>
      <c r="C17">
        <f>'khtn9'!G5</f>
      </c>
      <c r="D17">
        <f>IF(ISERROR(C17),LEFT(B17&amp;"",1)="#",IF(ISNUMBER(C17),AND(ISNUMBER(B17),ABS(C17-B17)&lt;=0.000001*MAX(1,ABS(B17))),EXACT(C17&amp;"",B17&amp;"")))</f>
      </c>
      <c r="E17">
        <f>ISERROR(C17)</f>
      </c>
    </row>
    <row r="18">
      <c r="A18" t="str">
        <v>G6</v>
      </c>
      <c r="B18">
        <v>3.24</v>
      </c>
      <c r="C18">
        <f>'khtn9'!G6</f>
      </c>
      <c r="D18">
        <f>IF(ISERROR(C18),LEFT(B18&amp;"",1)="#",IF(ISNUMBER(C18),AND(ISNUMBER(B18),ABS(C18-B18)&lt;=0.000001*MAX(1,ABS(B18))),EXACT(C18&amp;"",B18&amp;"")))</f>
      </c>
      <c r="E18">
        <f>ISERROR(C18)</f>
      </c>
    </row>
    <row r="19">
      <c r="A19" t="str">
        <v>G7</v>
      </c>
      <c r="B19">
        <v>8.9</v>
      </c>
      <c r="C19">
        <f>'khtn9'!G7</f>
      </c>
      <c r="D19">
        <f>IF(ISERROR(C19),LEFT(B19&amp;"",1)="#",IF(ISNUMBER(C19),AND(ISNUMBER(B19),ABS(C19-B19)&lt;=0.000001*MAX(1,ABS(B19))),EXACT(C19&amp;"",B19&amp;"")))</f>
      </c>
      <c r="E19">
        <f>ISERROR(C19)</f>
      </c>
    </row>
    <row r="20">
      <c r="A20" t="str">
        <v>G8</v>
      </c>
      <c r="B20">
        <v>2.466666666666667</v>
      </c>
      <c r="C20">
        <f>'khtn9'!G8</f>
      </c>
      <c r="D20">
        <f>IF(ISERROR(C20),LEFT(B20&amp;"",1)="#",IF(ISNUMBER(C20),AND(ISNUMBER(B20),ABS(C20-B20)&lt;=0.000001*MAX(1,ABS(B20))),EXACT(C20&amp;"",B20&amp;"")))</f>
      </c>
      <c r="E20">
        <f>ISERROR(C20)</f>
      </c>
    </row>
    <row r="21">
      <c r="A21" t="str">
        <v>G9</v>
      </c>
      <c r="B21">
        <v>0.868</v>
      </c>
      <c r="C21">
        <f>'khtn9'!G9</f>
      </c>
      <c r="D21">
        <f>IF(ISERROR(C21),LEFT(B21&amp;"",1)="#",IF(ISNUMBER(C21),AND(ISNUMBER(B21),ABS(C21-B21)&lt;=0.000001*MAX(1,ABS(B21))),EXACT(C21&amp;"",B21&amp;"")))</f>
      </c>
      <c r="E21">
        <f>ISERROR(C21)</f>
      </c>
    </row>
    <row r="22">
      <c r="A22" t="str">
        <v>G10</v>
      </c>
      <c r="B22">
        <v>5</v>
      </c>
      <c r="C22">
        <f>'khtn9'!G10</f>
      </c>
      <c r="D22">
        <f>IF(ISERROR(C22),LEFT(B22&amp;"",1)="#",IF(ISNUMBER(C22),AND(ISNUMBER(B22),ABS(C22-B22)&lt;=0.000001*MAX(1,ABS(B22))),EXACT(C22&amp;"",B22&amp;"")))</f>
      </c>
      <c r="E22">
        <f>ISERROR(C22)</f>
      </c>
    </row>
    <row r="23">
      <c r="A23" t="str">
        <v>G11</v>
      </c>
      <c r="B23">
        <v>4.75</v>
      </c>
      <c r="C23">
        <f>'khtn9'!G11</f>
      </c>
      <c r="D23">
        <f>IF(ISERROR(C23),LEFT(B23&amp;"",1)="#",IF(ISNUMBER(C23),AND(ISNUMBER(B23),ABS(C23-B23)&lt;=0.000001*MAX(1,ABS(B23))),EXACT(C23&amp;"",B23&amp;"")))</f>
      </c>
      <c r="E23">
        <f>ISERROR(C23)</f>
      </c>
    </row>
    <row r="24">
      <c r="A24" t="str">
        <v>G12</v>
      </c>
      <c r="B24">
        <v>3.8</v>
      </c>
      <c r="C24">
        <f>'khtn9'!G12</f>
      </c>
      <c r="D24">
        <f>IF(ISERROR(C24),LEFT(B24&amp;"",1)="#",IF(ISNUMBER(C24),AND(ISNUMBER(B24),ABS(C24-B24)&lt;=0.000001*MAX(1,ABS(B24))),EXACT(C24&amp;"",B24&amp;"")))</f>
      </c>
      <c r="E24">
        <f>ISERROR(C24)</f>
      </c>
    </row>
    <row r="25">
      <c r="A25" t="str">
        <v>G13</v>
      </c>
      <c r="B25">
        <v>2.38</v>
      </c>
      <c r="C25">
        <f>'khtn9'!G13</f>
      </c>
      <c r="D25">
        <f>IF(ISERROR(C25),LEFT(B25&amp;"",1)="#",IF(ISNUMBER(C25),AND(ISNUMBER(B25),ABS(C25-B25)&lt;=0.000001*MAX(1,ABS(B25))),EXACT(C25&amp;"",B25&amp;"")))</f>
      </c>
      <c r="E25">
        <f>ISERROR(C25)</f>
      </c>
    </row>
    <row r="26">
      <c r="A26" t="str">
        <v>H2</v>
      </c>
      <c r="B26">
        <v>14.31</v>
      </c>
      <c r="C26">
        <f>'khtn9'!H2</f>
      </c>
      <c r="D26">
        <f>IF(ISERROR(C26),LEFT(B26&amp;"",1)="#",IF(ISNUMBER(C26),AND(ISNUMBER(B26),ABS(C26-B26)&lt;=0.000001*MAX(1,ABS(B26))),EXACT(C26&amp;"",B26&amp;"")))</f>
      </c>
      <c r="E26">
        <f>ISERROR(C26)</f>
      </c>
    </row>
    <row r="27">
      <c r="A27" t="str">
        <v>H3</v>
      </c>
      <c r="B27">
        <v>17.86</v>
      </c>
      <c r="C27">
        <f>'khtn9'!H3</f>
      </c>
      <c r="D27">
        <f>IF(ISERROR(C27),LEFT(B27&amp;"",1)="#",IF(ISNUMBER(C27),AND(ISNUMBER(B27),ABS(C27-B27)&lt;=0.000001*MAX(1,ABS(B27))),EXACT(C27&amp;"",B27&amp;"")))</f>
      </c>
      <c r="E27">
        <f>ISERROR(C27)</f>
      </c>
    </row>
    <row r="28">
      <c r="A28" t="str">
        <v>H4</v>
      </c>
      <c r="B28">
        <v>7.5</v>
      </c>
      <c r="C28">
        <f>'khtn9'!H4</f>
      </c>
      <c r="D28">
        <f>IF(ISERROR(C28),LEFT(B28&amp;"",1)="#",IF(ISNUMBER(C28),AND(ISNUMBER(B28),ABS(C28-B28)&lt;=0.000001*MAX(1,ABS(B28))),EXACT(C28&amp;"",B28&amp;"")))</f>
      </c>
      <c r="E28">
        <f>ISERROR(C28)</f>
      </c>
    </row>
    <row r="29">
      <c r="A29" t="str">
        <v>H5</v>
      </c>
      <c r="B29">
        <v>1.69</v>
      </c>
      <c r="C29">
        <f>'khtn9'!H5</f>
      </c>
      <c r="D29">
        <f>IF(ISERROR(C29),LEFT(B29&amp;"",1)="#",IF(ISNUMBER(C29),AND(ISNUMBER(B29),ABS(C29-B29)&lt;=0.000001*MAX(1,ABS(B29))),EXACT(C29&amp;"",B29&amp;"")))</f>
      </c>
      <c r="E29">
        <f>ISERROR(C29)</f>
      </c>
    </row>
    <row r="30">
      <c r="A30" t="str">
        <v>H6</v>
      </c>
      <c r="B30">
        <v>1.85</v>
      </c>
      <c r="C30">
        <f>'khtn9'!H6</f>
      </c>
      <c r="D30">
        <f>IF(ISERROR(C30),LEFT(B30&amp;"",1)="#",IF(ISNUMBER(C30),AND(ISNUMBER(B30),ABS(C30-B30)&lt;=0.000001*MAX(1,ABS(B30))),EXACT(C30&amp;"",B30&amp;"")))</f>
      </c>
      <c r="E30">
        <f>ISERROR(C30)</f>
      </c>
    </row>
    <row r="31">
      <c r="A31" t="str">
        <v>H7</v>
      </c>
      <c r="B31">
        <v>2.7</v>
      </c>
      <c r="C31">
        <f>'khtn9'!H7</f>
      </c>
      <c r="D31">
        <f>IF(ISERROR(C31),LEFT(B31&amp;"",1)="#",IF(ISNUMBER(C31),AND(ISNUMBER(B31),ABS(C31-B31)&lt;=0.000001*MAX(1,ABS(B31))),EXACT(C31&amp;"",B31&amp;"")))</f>
      </c>
      <c r="E31">
        <f>ISERROR(C31)</f>
      </c>
    </row>
    <row r="32">
      <c r="A32" t="str">
        <v>H8</v>
      </c>
      <c r="B32">
        <v>2.43</v>
      </c>
      <c r="C32">
        <f>'khtn9'!H8</f>
      </c>
      <c r="D32">
        <f>IF(ISERROR(C32),LEFT(B32&amp;"",1)="#",IF(ISNUMBER(C32),AND(ISNUMBER(B32),ABS(C32-B32)&lt;=0.000001*MAX(1,ABS(B32))),EXACT(C32&amp;"",B32&amp;"")))</f>
      </c>
      <c r="E32">
        <f>ISERROR(C32)</f>
      </c>
    </row>
    <row r="33">
      <c r="A33" t="str">
        <v>H9</v>
      </c>
      <c r="B33">
        <v>13.82</v>
      </c>
      <c r="C33">
        <f>'khtn9'!H9</f>
      </c>
      <c r="D33">
        <f>IF(ISERROR(C33),LEFT(B33&amp;"",1)="#",IF(ISNUMBER(C33),AND(ISNUMBER(B33),ABS(C33-B33)&lt;=0.000001*MAX(1,ABS(B33))),EXACT(C33&amp;"",B33&amp;"")))</f>
      </c>
      <c r="E33">
        <f>ISERROR(C33)</f>
      </c>
    </row>
    <row r="34">
      <c r="A34" t="str">
        <v>H10</v>
      </c>
      <c r="B34">
        <v>4.8</v>
      </c>
      <c r="C34">
        <f>'khtn9'!H10</f>
      </c>
      <c r="D34">
        <f>IF(ISERROR(C34),LEFT(B34&amp;"",1)="#",IF(ISNUMBER(C34),AND(ISNUMBER(B34),ABS(C34-B34)&lt;=0.000001*MAX(1,ABS(B34))),EXACT(C34&amp;"",B34&amp;"")))</f>
      </c>
      <c r="E34">
        <f>ISERROR(C34)</f>
      </c>
    </row>
    <row r="35">
      <c r="A35" t="str">
        <v>H11</v>
      </c>
      <c r="B35">
        <v>2.53</v>
      </c>
      <c r="C35">
        <f>'khtn9'!H11</f>
      </c>
      <c r="D35">
        <f>IF(ISERROR(C35),LEFT(B35&amp;"",1)="#",IF(ISNUMBER(C35),AND(ISNUMBER(B35),ABS(C35-B35)&lt;=0.000001*MAX(1,ABS(B35))),EXACT(C35&amp;"",B35&amp;"")))</f>
      </c>
      <c r="E35">
        <f>ISERROR(C35)</f>
      </c>
    </row>
    <row r="36">
      <c r="A36" t="str">
        <v>H12</v>
      </c>
      <c r="B36">
        <v>1.58</v>
      </c>
      <c r="C36">
        <f>'khtn9'!H12</f>
      </c>
      <c r="D36">
        <f>IF(ISERROR(C36),LEFT(B36&amp;"",1)="#",IF(ISNUMBER(C36),AND(ISNUMBER(B36),ABS(C36-B36)&lt;=0.000001*MAX(1,ABS(B36))),EXACT(C36&amp;"",B36&amp;"")))</f>
      </c>
      <c r="E36">
        <f>ISERROR(C36)</f>
      </c>
    </row>
    <row r="37">
      <c r="A37" t="str">
        <v>H13</v>
      </c>
      <c r="B37">
        <v>10.08</v>
      </c>
      <c r="C37">
        <f>'khtn9'!H13</f>
      </c>
      <c r="D37">
        <f>IF(ISERROR(C37),LEFT(B37&amp;"",1)="#",IF(ISNUMBER(C37),AND(ISNUMBER(B37),ABS(C37-B37)&lt;=0.000001*MAX(1,ABS(B37))),EXACT(C37&amp;"",B37&amp;"")))</f>
      </c>
      <c r="E37">
        <f>ISERROR(C37)</f>
      </c>
    </row>
    <row r="38">
      <c r="A38" t="str">
        <v>I2</v>
      </c>
      <c r="B38">
        <v>171.7</v>
      </c>
      <c r="C38">
        <f>'khtn9'!I2</f>
      </c>
      <c r="D38">
        <f>IF(ISERROR(C38),LEFT(B38&amp;"",1)="#",IF(ISNUMBER(C38),AND(ISNUMBER(B38),ABS(C38-B38)&lt;=0.000001*MAX(1,ABS(B38))),EXACT(C38&amp;"",B38&amp;"")))</f>
      </c>
      <c r="E38">
        <f>ISERROR(C38)</f>
      </c>
    </row>
    <row r="39">
      <c r="A39" t="str">
        <v>I3</v>
      </c>
      <c r="B39">
        <v>428.57</v>
      </c>
      <c r="C39">
        <f>'khtn9'!I3</f>
      </c>
      <c r="D39">
        <f>IF(ISERROR(C39),LEFT(B39&amp;"",1)="#",IF(ISNUMBER(C39),AND(ISNUMBER(B39),ABS(C39-B39)&lt;=0.000001*MAX(1,ABS(B39))),EXACT(C39&amp;"",B39&amp;"")))</f>
      </c>
      <c r="E39">
        <f>ISERROR(C39)</f>
      </c>
    </row>
    <row r="40">
      <c r="A40" t="str">
        <v>I4</v>
      </c>
      <c r="B40">
        <v>45</v>
      </c>
      <c r="C40">
        <f>'khtn9'!I4</f>
      </c>
      <c r="D40">
        <f>IF(ISERROR(C40),LEFT(B40&amp;"",1)="#",IF(ISNUMBER(C40),AND(ISNUMBER(B40),ABS(C40-B40)&lt;=0.000001*MAX(1,ABS(B40))),EXACT(C40&amp;"",B40&amp;"")))</f>
      </c>
      <c r="E40">
        <f>ISERROR(C40)</f>
      </c>
    </row>
    <row r="41">
      <c r="A41" t="str">
        <v>I5</v>
      </c>
      <c r="B41">
        <v>20.28</v>
      </c>
      <c r="C41">
        <f>'khtn9'!I5</f>
      </c>
      <c r="D41">
        <f>IF(ISERROR(C41),LEFT(B41&amp;"",1)="#",IF(ISNUMBER(C41),AND(ISNUMBER(B41),ABS(C41-B41)&lt;=0.000001*MAX(1,ABS(B41))),EXACT(C41&amp;"",B41&amp;"")))</f>
      </c>
      <c r="E41">
        <f>ISERROR(C41)</f>
      </c>
    </row>
    <row r="42">
      <c r="A42" t="str">
        <v>I6</v>
      </c>
      <c r="B42">
        <v>11.11</v>
      </c>
      <c r="C42">
        <f>'khtn9'!I6</f>
      </c>
      <c r="D42">
        <f>IF(ISERROR(C42),LEFT(B42&amp;"",1)="#",IF(ISNUMBER(C42),AND(ISNUMBER(B42),ABS(C42-B42)&lt;=0.000001*MAX(1,ABS(B42))),EXACT(C42&amp;"",B42&amp;"")))</f>
      </c>
      <c r="E42">
        <f>ISERROR(C42)</f>
      </c>
    </row>
    <row r="43">
      <c r="A43" t="str">
        <v>I7</v>
      </c>
      <c r="B43">
        <v>64.72</v>
      </c>
      <c r="C43">
        <f>'khtn9'!I7</f>
      </c>
      <c r="D43">
        <f>IF(ISERROR(C43),LEFT(B43&amp;"",1)="#",IF(ISNUMBER(C43),AND(ISNUMBER(B43),ABS(C43-B43)&lt;=0.000001*MAX(1,ABS(B43))),EXACT(C43&amp;"",B43&amp;"")))</f>
      </c>
      <c r="E43">
        <f>ISERROR(C43)</f>
      </c>
    </row>
    <row r="44">
      <c r="A44" t="str">
        <v>I8</v>
      </c>
      <c r="B44">
        <v>14.59</v>
      </c>
      <c r="C44">
        <f>'khtn9'!I8</f>
      </c>
      <c r="D44">
        <f>IF(ISERROR(C44),LEFT(B44&amp;"",1)="#",IF(ISNUMBER(C44),AND(ISNUMBER(B44),ABS(C44-B44)&lt;=0.000001*MAX(1,ABS(B44))),EXACT(C44&amp;"",B44&amp;"")))</f>
      </c>
      <c r="E44">
        <f>ISERROR(C44)</f>
      </c>
    </row>
    <row r="45">
      <c r="A45" t="str">
        <v>I9</v>
      </c>
      <c r="B45">
        <v>165.9</v>
      </c>
      <c r="C45">
        <f>'khtn9'!I9</f>
      </c>
      <c r="D45">
        <f>IF(ISERROR(C45),LEFT(B45&amp;"",1)="#",IF(ISNUMBER(C45),AND(ISNUMBER(B45),ABS(C45-B45)&lt;=0.000001*MAX(1,ABS(B45))),EXACT(C45&amp;"",B45&amp;"")))</f>
      </c>
      <c r="E45">
        <f>ISERROR(C45)</f>
      </c>
    </row>
    <row r="46">
      <c r="A46" t="str">
        <v>I10</v>
      </c>
      <c r="B46">
        <v>115.2</v>
      </c>
      <c r="C46">
        <f>'khtn9'!I10</f>
      </c>
      <c r="D46">
        <f>IF(ISERROR(C46),LEFT(B46&amp;"",1)="#",IF(ISNUMBER(C46),AND(ISNUMBER(B46),ABS(C46-B46)&lt;=0.000001*MAX(1,ABS(B46))),EXACT(C46&amp;"",B46&amp;"")))</f>
      </c>
      <c r="E46">
        <f>ISERROR(C46)</f>
      </c>
    </row>
    <row r="47">
      <c r="A47" t="str">
        <v>I11</v>
      </c>
      <c r="B47">
        <v>30.32</v>
      </c>
      <c r="C47">
        <f>'khtn9'!I11</f>
      </c>
      <c r="D47">
        <f>IF(ISERROR(C47),LEFT(B47&amp;"",1)="#",IF(ISNUMBER(C47),AND(ISNUMBER(B47),ABS(C47-B47)&lt;=0.000001*MAX(1,ABS(B47))),EXACT(C47&amp;"",B47&amp;"")))</f>
      </c>
      <c r="E47">
        <f>ISERROR(C47)</f>
      </c>
    </row>
    <row r="48">
      <c r="A48" t="str">
        <v>I12</v>
      </c>
      <c r="B48">
        <v>9.47</v>
      </c>
      <c r="C48">
        <f>'khtn9'!I12</f>
      </c>
      <c r="D48">
        <f>IF(ISERROR(C48),LEFT(B48&amp;"",1)="#",IF(ISNUMBER(C48),AND(ISNUMBER(B48),ABS(C48-B48)&lt;=0.000001*MAX(1,ABS(B48))),EXACT(C48&amp;"",B48&amp;"")))</f>
      </c>
      <c r="E48">
        <f>ISERROR(C48)</f>
      </c>
    </row>
    <row r="49">
      <c r="A49" t="str">
        <v>I13</v>
      </c>
      <c r="B49">
        <v>242.02</v>
      </c>
      <c r="C49">
        <f>'khtn9'!I13</f>
      </c>
      <c r="D49">
        <f>IF(ISERROR(C49),LEFT(B49&amp;"",1)="#",IF(ISNUMBER(C49),AND(ISNUMBER(B49),ABS(C49-B49)&lt;=0.000001*MAX(1,ABS(B49))),EXACT(C49&amp;"",B49&amp;"")))</f>
      </c>
      <c r="E49">
        <f>ISERROR(C49)</f>
      </c>
    </row>
    <row r="50">
      <c r="A50" t="str">
        <v>J2</v>
      </c>
      <c r="B50">
        <v>10302</v>
      </c>
      <c r="C50">
        <f>'khtn9'!J2</f>
      </c>
      <c r="D50">
        <f>IF(ISERROR(C50),LEFT(B50&amp;"",1)="#",IF(ISNUMBER(C50),AND(ISNUMBER(B50),ABS(C50-B50)&lt;=0.000001*MAX(1,ABS(B50))),EXACT(C50&amp;"",B50&amp;"")))</f>
      </c>
      <c r="E50">
        <f>ISERROR(C50)</f>
      </c>
    </row>
    <row r="51">
      <c r="A51" t="str">
        <v>J3</v>
      </c>
      <c r="B51">
        <v>25714</v>
      </c>
      <c r="C51">
        <f>'khtn9'!J3</f>
      </c>
      <c r="D51">
        <f>IF(ISERROR(C51),LEFT(B51&amp;"",1)="#",IF(ISNUMBER(C51),AND(ISNUMBER(B51),ABS(C51-B51)&lt;=0.000001*MAX(1,ABS(B51))),EXACT(C51&amp;"",B51&amp;"")))</f>
      </c>
      <c r="E51">
        <f>ISERROR(C51)</f>
      </c>
    </row>
    <row r="52">
      <c r="A52" t="str">
        <v>J4</v>
      </c>
      <c r="B52">
        <v>2700</v>
      </c>
      <c r="C52">
        <f>'khtn9'!J4</f>
      </c>
      <c r="D52">
        <f>IF(ISERROR(C52),LEFT(B52&amp;"",1)="#",IF(ISNUMBER(C52),AND(ISNUMBER(B52),ABS(C52-B52)&lt;=0.000001*MAX(1,ABS(B52))),EXACT(C52&amp;"",B52&amp;"")))</f>
      </c>
      <c r="E52">
        <f>ISERROR(C52)</f>
      </c>
    </row>
    <row r="53">
      <c r="A53" t="str">
        <v>J5</v>
      </c>
      <c r="B53">
        <v>1217</v>
      </c>
      <c r="C53">
        <f>'khtn9'!J5</f>
      </c>
      <c r="D53">
        <f>IF(ISERROR(C53),LEFT(B53&amp;"",1)="#",IF(ISNUMBER(C53),AND(ISNUMBER(B53),ABS(C53-B53)&lt;=0.000001*MAX(1,ABS(B53))),EXACT(C53&amp;"",B53&amp;"")))</f>
      </c>
      <c r="E53">
        <f>ISERROR(C53)</f>
      </c>
    </row>
    <row r="54">
      <c r="A54" t="str">
        <v>J6</v>
      </c>
      <c r="B54">
        <v>667</v>
      </c>
      <c r="C54">
        <f>'khtn9'!J6</f>
      </c>
      <c r="D54">
        <f>IF(ISERROR(C54),LEFT(B54&amp;"",1)="#",IF(ISNUMBER(C54),AND(ISNUMBER(B54),ABS(C54-B54)&lt;=0.000001*MAX(1,ABS(B54))),EXACT(C54&amp;"",B54&amp;"")))</f>
      </c>
      <c r="E54">
        <f>ISERROR(C54)</f>
      </c>
    </row>
    <row r="55">
      <c r="A55" t="str">
        <v>J7</v>
      </c>
      <c r="B55">
        <v>3883</v>
      </c>
      <c r="C55">
        <f>'khtn9'!J7</f>
      </c>
      <c r="D55">
        <f>IF(ISERROR(C55),LEFT(B55&amp;"",1)="#",IF(ISNUMBER(C55),AND(ISNUMBER(B55),ABS(C55-B55)&lt;=0.000001*MAX(1,ABS(B55))),EXACT(C55&amp;"",B55&amp;"")))</f>
      </c>
      <c r="E55">
        <f>ISERROR(C55)</f>
      </c>
    </row>
    <row r="56">
      <c r="A56" t="str">
        <v>J8</v>
      </c>
      <c r="B56">
        <v>876</v>
      </c>
      <c r="C56">
        <f>'khtn9'!J8</f>
      </c>
      <c r="D56">
        <f>IF(ISERROR(C56),LEFT(B56&amp;"",1)="#",IF(ISNUMBER(C56),AND(ISNUMBER(B56),ABS(C56-B56)&lt;=0.000001*MAX(1,ABS(B56))),EXACT(C56&amp;"",B56&amp;"")))</f>
      </c>
      <c r="E56">
        <f>ISERROR(C56)</f>
      </c>
    </row>
    <row r="57">
      <c r="A57" t="str">
        <v>J9</v>
      </c>
      <c r="B57">
        <v>9954</v>
      </c>
      <c r="C57">
        <f>'khtn9'!J9</f>
      </c>
      <c r="D57">
        <f>IF(ISERROR(C57),LEFT(B57&amp;"",1)="#",IF(ISNUMBER(C57),AND(ISNUMBER(B57),ABS(C57-B57)&lt;=0.000001*MAX(1,ABS(B57))),EXACT(C57&amp;"",B57&amp;"")))</f>
      </c>
      <c r="E57">
        <f>ISERROR(C57)</f>
      </c>
    </row>
    <row r="58">
      <c r="A58" t="str">
        <v>J10</v>
      </c>
      <c r="B58">
        <v>6912</v>
      </c>
      <c r="C58">
        <f>'khtn9'!J10</f>
      </c>
      <c r="D58">
        <f>IF(ISERROR(C58),LEFT(B58&amp;"",1)="#",IF(ISNUMBER(C58),AND(ISNUMBER(B58),ABS(C58-B58)&lt;=0.000001*MAX(1,ABS(B58))),EXACT(C58&amp;"",B58&amp;"")))</f>
      </c>
      <c r="E58">
        <f>ISERROR(C58)</f>
      </c>
    </row>
    <row r="59">
      <c r="A59" t="str">
        <v>J11</v>
      </c>
      <c r="B59">
        <v>1819</v>
      </c>
      <c r="C59">
        <f>'khtn9'!J11</f>
      </c>
      <c r="D59">
        <f>IF(ISERROR(C59),LEFT(B59&amp;"",1)="#",IF(ISNUMBER(C59),AND(ISNUMBER(B59),ABS(C59-B59)&lt;=0.000001*MAX(1,ABS(B59))),EXACT(C59&amp;"",B59&amp;"")))</f>
      </c>
      <c r="E59">
        <f>ISERROR(C59)</f>
      </c>
    </row>
    <row r="60">
      <c r="A60" t="str">
        <v>J12</v>
      </c>
      <c r="B60">
        <v>568</v>
      </c>
      <c r="C60">
        <f>'khtn9'!J12</f>
      </c>
      <c r="D60">
        <f>IF(ISERROR(C60),LEFT(B60&amp;"",1)="#",IF(ISNUMBER(C60),AND(ISNUMBER(B60),ABS(C60-B60)&lt;=0.000001*MAX(1,ABS(B60))),EXACT(C60&amp;"",B60&amp;"")))</f>
      </c>
      <c r="E60">
        <f>ISERROR(C60)</f>
      </c>
    </row>
    <row r="61">
      <c r="A61" t="str">
        <v>J13</v>
      </c>
      <c r="B61">
        <v>14521</v>
      </c>
      <c r="C61">
        <f>'khtn9'!J13</f>
      </c>
      <c r="D61">
        <f>IF(ISERROR(C61),LEFT(B61&amp;"",1)="#",IF(ISNUMBER(C61),AND(ISNUMBER(B61),ABS(C61-B61)&lt;=0.000001*MAX(1,ABS(B61))),EXACT(C61&amp;"",B61&amp;"")))</f>
      </c>
      <c r="E61">
        <f>ISERROR(C61)</f>
      </c>
    </row>
    <row r="62">
      <c r="A62" t="str">
        <v>Z2</v>
      </c>
      <c r="B62" t="str">
        <v>DAY06</v>
      </c>
      <c r="C62">
        <f>'khtn9'!Z2</f>
      </c>
      <c r="D62">
        <f>IF(ISERROR(C62),LEFT(B62&amp;"",1)="#",IF(ISNUMBER(C62),AND(ISNUMBER(B62),ABS(C62-B62)&lt;=0.000001*MAX(1,ABS(B62))),EXACT(C62&amp;"",B62&amp;"")))</f>
      </c>
      <c r="E62">
        <f>ISERROR(C62)</f>
      </c>
    </row>
    <row r="63">
      <c r="A63" t="str">
        <v>Z3</v>
      </c>
      <c r="B63">
        <v>413.72</v>
      </c>
      <c r="C63">
        <f>'khtn9'!Z3</f>
      </c>
      <c r="D63">
        <f>IF(ISERROR(C63),LEFT(B63&amp;"",1)="#",IF(ISNUMBER(C63),AND(ISNUMBER(B63),ABS(C63-B63)&lt;=0.000001*MAX(1,ABS(B63))),EXACT(C63&amp;"",B63&amp;"")))</f>
      </c>
      <c r="E63">
        <f>ISERROR(C63)</f>
      </c>
    </row>
    <row r="64">
      <c r="A64" t="str">
        <v>Z4</v>
      </c>
      <c r="B64">
        <v>2</v>
      </c>
      <c r="C64">
        <f>'khtn9'!Z4</f>
      </c>
      <c r="D64">
        <f>IF(ISERROR(C64),LEFT(B64&amp;"",1)="#",IF(ISNUMBER(C64),AND(ISNUMBER(B64),ABS(C64-B64)&lt;=0.000001*MAX(1,ABS(B64))),EXACT(C64&amp;"",B64&amp;"")))</f>
      </c>
      <c r="E64">
        <f>ISERROR(C64)</f>
      </c>
    </row>
    <row r="65">
      <c r="A65" t="str">
        <v>Z5</v>
      </c>
      <c r="B65">
        <v>4.507083333333333</v>
      </c>
      <c r="C65">
        <f>'khtn9'!Z5</f>
      </c>
      <c r="D65">
        <f>IF(ISERROR(C65),LEFT(B65&amp;"",1)="#",IF(ISNUMBER(C65),AND(ISNUMBER(B65),ABS(C65-B65)&lt;=0.000001*MAX(1,ABS(B65))),EXACT(C65&amp;"",B65&amp;"")))</f>
      </c>
      <c r="E65">
        <f>ISERROR(C65)</f>
      </c>
    </row>
    <row r="66">
      <c r="A66" t="str">
        <v>Z6</v>
      </c>
      <c r="B66">
        <v>14521</v>
      </c>
      <c r="C66">
        <f>'khtn9'!Z6</f>
      </c>
      <c r="D66">
        <f>IF(ISERROR(C66),LEFT(B66&amp;"",1)="#",IF(ISNUMBER(C66),AND(ISNUMBER(B66),ABS(C66-B66)&lt;=0.000001*MAX(1,ABS(B66))),EXACT(C66&amp;"",B66&amp;"")))</f>
      </c>
      <c r="E66">
        <f>ISERROR(C66)</f>
      </c>
    </row>
    <row r="67">
      <c r="A67" t="str">
        <v>Z7</v>
      </c>
      <c r="B67">
        <v>2.8533333333333335</v>
      </c>
      <c r="C67">
        <f>'khtn9'!Z7</f>
      </c>
      <c r="D67">
        <f>IF(ISERROR(C67),LEFT(B67&amp;"",1)="#",IF(ISNUMBER(C67),AND(ISNUMBER(B67),ABS(C67-B67)&lt;=0.000001*MAX(1,ABS(B67))),EXACT(C67&amp;"",B67&amp;"")))</f>
      </c>
      <c r="E67">
        <f>ISERROR(C67)</f>
      </c>
    </row>
    <row r="68">
      <c r="A68" t="str">
        <v>Z8</v>
      </c>
      <c r="B68">
        <v>7.1</v>
      </c>
      <c r="C68">
        <f>'khtn9'!Z8</f>
      </c>
      <c r="D68">
        <f>IF(ISERROR(C68),LEFT(B68&amp;"",1)="#",IF(ISNUMBER(C68),AND(ISNUMBER(B68),ABS(C68-B68)&lt;=0.000001*MAX(1,ABS(B68))),EXACT(C68&amp;"",B68&amp;"")))</f>
      </c>
      <c r="E68">
        <f>ISERROR(C68)</f>
      </c>
    </row>
    <row r="69">
      <c r="A69" t="str">
        <v>Z9</v>
      </c>
      <c r="B69">
        <v>5.84</v>
      </c>
      <c r="C69">
        <f>'khtn9'!Z9</f>
      </c>
      <c r="D69">
        <f>IF(ISERROR(C69),LEFT(B69&amp;"",1)="#",IF(ISNUMBER(C69),AND(ISNUMBER(B69),ABS(C69-B69)&lt;=0.000001*MAX(1,ABS(B69))),EXACT(C69&amp;"",B69&amp;"")))</f>
      </c>
      <c r="E69">
        <f>ISERROR(C69)</f>
      </c>
    </row>
    <row r="70">
      <c r="A70" t="str">
        <v>Z10</v>
      </c>
      <c r="B70">
        <v>413.72</v>
      </c>
      <c r="C70">
        <f>'khtn9'!Z10</f>
      </c>
      <c r="D70">
        <f>IF(ISERROR(C70),LEFT(B70&amp;"",1)="#",IF(ISNUMBER(C70),AND(ISNUMBER(B70),ABS(C70-B70)&lt;=0.000001*MAX(1,ABS(B70))),EXACT(C70&amp;"",B70&amp;"")))</f>
      </c>
      <c r="E70">
        <f>ISERROR(C70)</f>
      </c>
    </row>
    <row r="71">
      <c r="A71" t="str">
        <v>Z11</v>
      </c>
      <c r="B71">
        <v>2</v>
      </c>
      <c r="C71">
        <f>'khtn9'!Z11</f>
      </c>
      <c r="D71">
        <f>IF(ISERROR(C71),LEFT(B71&amp;"",1)="#",IF(ISNUMBER(C71),AND(ISNUMBER(B71),ABS(C71-B71)&lt;=0.000001*MAX(1,ABS(B71))),EXACT(C71&amp;"",B71&amp;"")))</f>
      </c>
      <c r="E71">
        <f>ISERROR(C71)</f>
      </c>
    </row>
    <row r="72">
      <c r="A72" t="str">
        <v>Z12</v>
      </c>
      <c r="B72">
        <v>413.72</v>
      </c>
      <c r="C72">
        <f>'khtn9'!Z12</f>
      </c>
      <c r="D72">
        <f>IF(ISERROR(C72),LEFT(B72&amp;"",1)="#",IF(ISNUMBER(C72),AND(ISNUMBER(B72),ABS(C72-B72)&lt;=0.000001*MAX(1,ABS(B72))),EXACT(C72&amp;"",B72&amp;"")))</f>
      </c>
      <c r="E72">
        <f>ISERROR(C72)</f>
      </c>
    </row>
    <row r="73">
      <c r="A73" t="str">
        <v>Z13</v>
      </c>
      <c r="B73">
        <v>1085</v>
      </c>
      <c r="C73">
        <f>'khtn9'!Z13</f>
      </c>
      <c r="D73">
        <f>IF(ISERROR(C73),LEFT(B73&amp;"",1)="#",IF(ISNUMBER(C73),AND(ISNUMBER(B73),ABS(C73-B73)&lt;=0.000001*MAX(1,ABS(B73))),EXACT(C73&amp;"",B73&amp;"")))</f>
      </c>
      <c r="E73">
        <f>ISERROR(C73)</f>
      </c>
    </row>
  </sheetData>
  <ignoredErrors>
    <ignoredError numberStoredAsText="1" sqref="A1:E73"/>
  </ignoredErrors>
</worksheet>
</file>

<file path=xl/worksheets/sheet1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MaHS</v>
      </c>
      <c r="B1" t="str">
        <v>Lop</v>
      </c>
      <c r="C1" t="str">
        <v>Toan</v>
      </c>
      <c r="D1" t="str">
        <v>Van</v>
      </c>
      <c r="E1" t="str">
        <v>Anh</v>
      </c>
      <c r="F1" t="str">
        <v>DiemTB</v>
      </c>
      <c r="G1" t="str">
        <v>XepLoai</v>
      </c>
      <c r="H1" t="str">
        <v>XepHang</v>
      </c>
      <c r="W1" t="str">
        <v>XepLoai</v>
      </c>
      <c r="Y1" t="str">
        <v>TongHop</v>
      </c>
      <c r="Z1" t="str">
        <v>KetQua</v>
      </c>
    </row>
    <row r="2">
      <c r="A2" t="str">
        <v>HS01</v>
      </c>
      <c r="B2" t="str">
        <v>9A</v>
      </c>
      <c r="C2">
        <v>10</v>
      </c>
      <c r="D2">
        <v>9.5</v>
      </c>
      <c r="E2">
        <v>9</v>
      </c>
      <c r="F2">
        <f>ROUND((C2*2+D2*2+E2)/5,1)</f>
        <v>9.6</v>
      </c>
      <c r="G2" t="str">
        <f>IF(F2&gt;=8,"GIOI",IF(F2&gt;=6.5,"KHA",IF(F2&gt;=5,"TB","YEU")))</f>
        <v>GIOI</v>
      </c>
      <c r="H2">
        <f>RANK(F2,$F$2:$F$13)</f>
        <v>1</v>
      </c>
      <c r="W2" t="str">
        <v>GIOI</v>
      </c>
      <c r="Y2" t="str">
        <v>Ma MaHS co DiemTB lon nhat</v>
      </c>
      <c r="Z2" t="str">
        <f>INDEX(A2:A13,MATCH(MAX(F2:F13),F2:F13,0))</f>
        <v>HS01</v>
      </c>
    </row>
    <row r="3">
      <c r="A3" t="str">
        <v>HS02</v>
      </c>
      <c r="B3" t="str">
        <v>9B</v>
      </c>
      <c r="C3">
        <v>8</v>
      </c>
      <c r="D3">
        <v>6</v>
      </c>
      <c r="E3">
        <v>6.5</v>
      </c>
      <c r="F3">
        <f>ROUND((C3*2+D3*2+E3)/5,1)</f>
        <v>6.9</v>
      </c>
      <c r="G3" t="str">
        <f>IF(F3&gt;=8,"GIOI",IF(F3&gt;=6.5,"KHA",IF(F3&gt;=5,"TB","YEU")))</f>
        <v>KHA</v>
      </c>
      <c r="H3">
        <f>RANK(F3,$F$2:$F$13)</f>
        <v>7</v>
      </c>
      <c r="Y3" t="str">
        <v>So HS lop 9A xep loai GIOI</v>
      </c>
      <c r="Z3">
        <f>COUNTIFS(B2:B13,"9A",G2:G13,"GIOI")</f>
        <v>1</v>
      </c>
    </row>
    <row r="4">
      <c r="A4" t="str">
        <v>HS03</v>
      </c>
      <c r="B4" t="str">
        <v>9C</v>
      </c>
      <c r="C4">
        <v>3</v>
      </c>
      <c r="D4">
        <v>4</v>
      </c>
      <c r="E4">
        <v>9.5</v>
      </c>
      <c r="F4">
        <f>ROUND((C4*2+D4*2+E4)/5,1)</f>
        <v>4.7</v>
      </c>
      <c r="G4" t="str">
        <f>IF(F4&gt;=8,"GIOI",IF(F4&gt;=6.5,"KHA",IF(F4&gt;=5,"TB","YEU")))</f>
        <v>YEU</v>
      </c>
      <c r="H4">
        <f>RANK(F4,$F$2:$F$13)</f>
        <v>12</v>
      </c>
      <c r="Y4" t="str">
        <v>DiemTB trung binh khi Lop = 9B</v>
      </c>
      <c r="Z4">
        <f>AVERAGEIF(B2:B13,"9B",F2:F13)</f>
        <v>6.45</v>
      </c>
    </row>
    <row r="5">
      <c r="A5" t="str">
        <v>HS04</v>
      </c>
      <c r="B5" t="str">
        <v>9A</v>
      </c>
      <c r="C5">
        <v>9.5</v>
      </c>
      <c r="D5">
        <v>5</v>
      </c>
      <c r="E5">
        <v>8</v>
      </c>
      <c r="F5">
        <f>ROUND((C5*2+D5*2+E5)/5,1)</f>
        <v>7.4</v>
      </c>
      <c r="G5" t="str">
        <f>IF(F5&gt;=8,"GIOI",IF(F5&gt;=6.5,"KHA",IF(F5&gt;=5,"TB","YEU")))</f>
        <v>KHA</v>
      </c>
      <c r="H5">
        <f>RANK(F5,$F$2:$F$13)</f>
        <v>5</v>
      </c>
      <c r="Y5" t="str">
        <v>DiemTB lon nhat khi Lop = 9C</v>
      </c>
      <c r="Z5">
        <f>_xlfn.MAXIFS(F2:F13,B2:B13,"9C")</f>
        <v>8.8</v>
      </c>
    </row>
    <row r="6">
      <c r="A6" t="str">
        <v>HS05</v>
      </c>
      <c r="B6" t="str">
        <v>9B</v>
      </c>
      <c r="C6">
        <v>5</v>
      </c>
      <c r="D6">
        <v>5.5</v>
      </c>
      <c r="E6">
        <v>9</v>
      </c>
      <c r="F6">
        <f>ROUND((C6*2+D6*2+E6)/5,1)</f>
        <v>6</v>
      </c>
      <c r="G6" t="str">
        <f>IF(F6&gt;=8,"GIOI",IF(F6&gt;=6.5,"KHA",IF(F6&gt;=5,"TB","YEU")))</f>
        <v>TB</v>
      </c>
      <c r="H6">
        <f>RANK(F6,$F$2:$F$13)</f>
        <v>9</v>
      </c>
      <c r="Y6" t="str">
        <v>Diem TB cao nhat</v>
      </c>
      <c r="Z6">
        <f>MAX(F2:F13)</f>
        <v>9.6</v>
      </c>
    </row>
    <row r="7">
      <c r="A7" t="str">
        <v>HS06</v>
      </c>
      <c r="B7" t="str">
        <v>9C</v>
      </c>
      <c r="C7">
        <v>9</v>
      </c>
      <c r="D7">
        <v>4.5</v>
      </c>
      <c r="E7">
        <v>8.5</v>
      </c>
      <c r="F7">
        <f>ROUND((C7*2+D7*2+E7)/5,1)</f>
        <v>7.1</v>
      </c>
      <c r="G7" t="str">
        <f>IF(F7&gt;=8,"GIOI",IF(F7&gt;=6.5,"KHA",IF(F7&gt;=5,"TB","YEU")))</f>
        <v>KHA</v>
      </c>
      <c r="H7">
        <f>RANK(F7,$F$2:$F$13)</f>
        <v>6</v>
      </c>
      <c r="Y7" t="str">
        <v>So HS xep loai YEU</v>
      </c>
      <c r="Z7">
        <f>COUNTIF(G2:G13,"YEU")</f>
        <v>2</v>
      </c>
    </row>
    <row r="8">
      <c r="A8" t="str">
        <v>HS07</v>
      </c>
      <c r="B8" t="str">
        <v>9C</v>
      </c>
      <c r="C8">
        <v>4.5</v>
      </c>
      <c r="D8">
        <v>9.5</v>
      </c>
      <c r="E8">
        <v>9.5</v>
      </c>
      <c r="F8">
        <f>ROUND((C8*2+D8*2+E8)/5,1)</f>
        <v>7.5</v>
      </c>
      <c r="G8" t="str">
        <f>IF(F8&gt;=8,"GIOI",IF(F8&gt;=6.5,"KHA",IF(F8&gt;=5,"TB","YEU")))</f>
        <v>KHA</v>
      </c>
      <c r="H8">
        <f>RANK(F8,$F$2:$F$13)</f>
        <v>4</v>
      </c>
      <c r="Y8" t="str">
        <v>So dong theo tieu chi W1:W2</v>
      </c>
      <c r="Z8">
        <f>DCOUNT(A1:H13,"DiemTB",W1:W2)</f>
        <v>2</v>
      </c>
    </row>
    <row r="9">
      <c r="A9" t="str">
        <v>HS08</v>
      </c>
      <c r="B9" t="str">
        <v>9A</v>
      </c>
      <c r="C9">
        <v>6.5</v>
      </c>
      <c r="D9">
        <v>5</v>
      </c>
      <c r="E9">
        <v>7</v>
      </c>
      <c r="F9">
        <f>ROUND((C9*2+D9*2+E9)/5,1)</f>
        <v>6</v>
      </c>
      <c r="G9" t="str">
        <f>IF(F9&gt;=8,"GIOI",IF(F9&gt;=6.5,"KHA",IF(F9&gt;=5,"TB","YEU")))</f>
        <v>TB</v>
      </c>
      <c r="H9">
        <f>RANK(F9,$F$2:$F$13)</f>
        <v>9</v>
      </c>
      <c r="Y9" t="str">
        <v>Tong DiemTB theo tieu chi W1:W2</v>
      </c>
      <c r="Z9">
        <f>DSUM(A1:H13,"DiemTB",W1:W2)</f>
        <v>18.4</v>
      </c>
    </row>
    <row r="10">
      <c r="A10" t="str">
        <v>HS09</v>
      </c>
      <c r="B10" t="str">
        <v>9A</v>
      </c>
      <c r="C10">
        <v>4.5</v>
      </c>
      <c r="D10">
        <v>6.5</v>
      </c>
      <c r="E10">
        <v>9.5</v>
      </c>
      <c r="F10">
        <f>ROUND((C10*2+D10*2+E10)/5,1)</f>
        <v>6.3</v>
      </c>
      <c r="G10" t="str">
        <f>IF(F10&gt;=8,"GIOI",IF(F10&gt;=6.5,"KHA",IF(F10&gt;=5,"TB","YEU")))</f>
        <v>TB</v>
      </c>
      <c r="H10">
        <f>RANK(F10,$F$2:$F$13)</f>
        <v>8</v>
      </c>
      <c r="Y10" t="str">
        <v>DiemTB trung vi</v>
      </c>
      <c r="Z10">
        <f>MEDIAN(F2:F13)</f>
        <v>7</v>
      </c>
    </row>
    <row r="11">
      <c r="A11" t="str">
        <v>HS10</v>
      </c>
      <c r="B11" t="str">
        <v>9C</v>
      </c>
      <c r="C11">
        <v>8</v>
      </c>
      <c r="D11">
        <v>9</v>
      </c>
      <c r="E11">
        <v>10</v>
      </c>
      <c r="F11">
        <f>ROUND((C11*2+D11*2+E11)/5,1)</f>
        <v>8.8</v>
      </c>
      <c r="G11" t="str">
        <f>IF(F11&gt;=8,"GIOI",IF(F11&gt;=6.5,"KHA",IF(F11&gt;=5,"TB","YEU")))</f>
        <v>GIOI</v>
      </c>
      <c r="H11">
        <f>RANK(F11,$F$2:$F$13)</f>
        <v>2</v>
      </c>
    </row>
    <row r="12">
      <c r="A12" t="str">
        <v>HS11</v>
      </c>
      <c r="B12" t="str">
        <v>9C</v>
      </c>
      <c r="C12">
        <v>8.5</v>
      </c>
      <c r="D12">
        <v>6</v>
      </c>
      <c r="E12">
        <v>9.5</v>
      </c>
      <c r="F12">
        <f>ROUND((C12*2+D12*2+E12)/5,1)</f>
        <v>7.7</v>
      </c>
      <c r="G12" t="str">
        <f>IF(F12&gt;=8,"GIOI",IF(F12&gt;=6.5,"KHA",IF(F12&gt;=5,"TB","YEU")))</f>
        <v>KHA</v>
      </c>
      <c r="H12">
        <f>RANK(F12,$F$2:$F$13)</f>
        <v>3</v>
      </c>
    </row>
    <row r="13">
      <c r="A13" t="str">
        <v>HS12</v>
      </c>
      <c r="B13" t="str">
        <v>9A</v>
      </c>
      <c r="C13">
        <v>5.5</v>
      </c>
      <c r="D13">
        <v>5</v>
      </c>
      <c r="E13">
        <v>3</v>
      </c>
      <c r="F13">
        <f>ROUND((C13*2+D13*2+E13)/5,1)</f>
        <v>4.8</v>
      </c>
      <c r="G13" t="str">
        <f>IF(F13&gt;=8,"GIOI",IF(F13&gt;=6.5,"KHA",IF(F13&gt;=5,"TB","YEU")))</f>
        <v>YEU</v>
      </c>
      <c r="H13">
        <f>RANK(F13,$F$2:$F$13)</f>
        <v>11</v>
      </c>
    </row>
  </sheetData>
  <ignoredErrors>
    <ignoredError numberStoredAsText="1" sqref="A1:Z13"/>
  </ignoredErrors>
</worksheet>
</file>

<file path=xl/worksheets/sheet19.xml><?xml version="1.0" encoding="utf-8"?>
<worksheet xmlns="http://schemas.openxmlformats.org/spreadsheetml/2006/main" xmlns:r="http://schemas.openxmlformats.org/officeDocument/2006/relationships">
  <dimension ref="A1:E46"/>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9.6</v>
      </c>
      <c r="C2">
        <f>'tin9'!F2</f>
      </c>
      <c r="D2">
        <f>IF(ISERROR(C2),LEFT(B2&amp;"",1)="#",IF(ISNUMBER(C2),AND(ISNUMBER(B2),ABS(C2-B2)&lt;=0.000001*MAX(1,ABS(B2))),EXACT(C2&amp;"",B2&amp;"")))</f>
      </c>
      <c r="E2">
        <f>ISERROR(C2)</f>
      </c>
    </row>
    <row r="3">
      <c r="A3" t="str">
        <v>F3</v>
      </c>
      <c r="B3">
        <v>6.9</v>
      </c>
      <c r="C3">
        <f>'tin9'!F3</f>
      </c>
      <c r="D3">
        <f>IF(ISERROR(C3),LEFT(B3&amp;"",1)="#",IF(ISNUMBER(C3),AND(ISNUMBER(B3),ABS(C3-B3)&lt;=0.000001*MAX(1,ABS(B3))),EXACT(C3&amp;"",B3&amp;"")))</f>
      </c>
      <c r="E3">
        <f>ISERROR(C3)</f>
      </c>
    </row>
    <row r="4">
      <c r="A4" t="str">
        <v>F4</v>
      </c>
      <c r="B4">
        <v>4.7</v>
      </c>
      <c r="C4">
        <f>'tin9'!F4</f>
      </c>
      <c r="D4">
        <f>IF(ISERROR(C4),LEFT(B4&amp;"",1)="#",IF(ISNUMBER(C4),AND(ISNUMBER(B4),ABS(C4-B4)&lt;=0.000001*MAX(1,ABS(B4))),EXACT(C4&amp;"",B4&amp;"")))</f>
      </c>
      <c r="E4">
        <f>ISERROR(C4)</f>
      </c>
    </row>
    <row r="5">
      <c r="A5" t="str">
        <v>F5</v>
      </c>
      <c r="B5">
        <v>7.4</v>
      </c>
      <c r="C5">
        <f>'tin9'!F5</f>
      </c>
      <c r="D5">
        <f>IF(ISERROR(C5),LEFT(B5&amp;"",1)="#",IF(ISNUMBER(C5),AND(ISNUMBER(B5),ABS(C5-B5)&lt;=0.000001*MAX(1,ABS(B5))),EXACT(C5&amp;"",B5&amp;"")))</f>
      </c>
      <c r="E5">
        <f>ISERROR(C5)</f>
      </c>
    </row>
    <row r="6">
      <c r="A6" t="str">
        <v>F6</v>
      </c>
      <c r="B6">
        <v>6</v>
      </c>
      <c r="C6">
        <f>'tin9'!F6</f>
      </c>
      <c r="D6">
        <f>IF(ISERROR(C6),LEFT(B6&amp;"",1)="#",IF(ISNUMBER(C6),AND(ISNUMBER(B6),ABS(C6-B6)&lt;=0.000001*MAX(1,ABS(B6))),EXACT(C6&amp;"",B6&amp;"")))</f>
      </c>
      <c r="E6">
        <f>ISERROR(C6)</f>
      </c>
    </row>
    <row r="7">
      <c r="A7" t="str">
        <v>F7</v>
      </c>
      <c r="B7">
        <v>7.1</v>
      </c>
      <c r="C7">
        <f>'tin9'!F7</f>
      </c>
      <c r="D7">
        <f>IF(ISERROR(C7),LEFT(B7&amp;"",1)="#",IF(ISNUMBER(C7),AND(ISNUMBER(B7),ABS(C7-B7)&lt;=0.000001*MAX(1,ABS(B7))),EXACT(C7&amp;"",B7&amp;"")))</f>
      </c>
      <c r="E7">
        <f>ISERROR(C7)</f>
      </c>
    </row>
    <row r="8">
      <c r="A8" t="str">
        <v>F8</v>
      </c>
      <c r="B8">
        <v>7.5</v>
      </c>
      <c r="C8">
        <f>'tin9'!F8</f>
      </c>
      <c r="D8">
        <f>IF(ISERROR(C8),LEFT(B8&amp;"",1)="#",IF(ISNUMBER(C8),AND(ISNUMBER(B8),ABS(C8-B8)&lt;=0.000001*MAX(1,ABS(B8))),EXACT(C8&amp;"",B8&amp;"")))</f>
      </c>
      <c r="E8">
        <f>ISERROR(C8)</f>
      </c>
    </row>
    <row r="9">
      <c r="A9" t="str">
        <v>F9</v>
      </c>
      <c r="B9">
        <v>6</v>
      </c>
      <c r="C9">
        <f>'tin9'!F9</f>
      </c>
      <c r="D9">
        <f>IF(ISERROR(C9),LEFT(B9&amp;"",1)="#",IF(ISNUMBER(C9),AND(ISNUMBER(B9),ABS(C9-B9)&lt;=0.000001*MAX(1,ABS(B9))),EXACT(C9&amp;"",B9&amp;"")))</f>
      </c>
      <c r="E9">
        <f>ISERROR(C9)</f>
      </c>
    </row>
    <row r="10">
      <c r="A10" t="str">
        <v>F10</v>
      </c>
      <c r="B10">
        <v>6.3</v>
      </c>
      <c r="C10">
        <f>'tin9'!F10</f>
      </c>
      <c r="D10">
        <f>IF(ISERROR(C10),LEFT(B10&amp;"",1)="#",IF(ISNUMBER(C10),AND(ISNUMBER(B10),ABS(C10-B10)&lt;=0.000001*MAX(1,ABS(B10))),EXACT(C10&amp;"",B10&amp;"")))</f>
      </c>
      <c r="E10">
        <f>ISERROR(C10)</f>
      </c>
    </row>
    <row r="11">
      <c r="A11" t="str">
        <v>F11</v>
      </c>
      <c r="B11">
        <v>8.8</v>
      </c>
      <c r="C11">
        <f>'tin9'!F11</f>
      </c>
      <c r="D11">
        <f>IF(ISERROR(C11),LEFT(B11&amp;"",1)="#",IF(ISNUMBER(C11),AND(ISNUMBER(B11),ABS(C11-B11)&lt;=0.000001*MAX(1,ABS(B11))),EXACT(C11&amp;"",B11&amp;"")))</f>
      </c>
      <c r="E11">
        <f>ISERROR(C11)</f>
      </c>
    </row>
    <row r="12">
      <c r="A12" t="str">
        <v>F12</v>
      </c>
      <c r="B12">
        <v>7.7</v>
      </c>
      <c r="C12">
        <f>'tin9'!F12</f>
      </c>
      <c r="D12">
        <f>IF(ISERROR(C12),LEFT(B12&amp;"",1)="#",IF(ISNUMBER(C12),AND(ISNUMBER(B12),ABS(C12-B12)&lt;=0.000001*MAX(1,ABS(B12))),EXACT(C12&amp;"",B12&amp;"")))</f>
      </c>
      <c r="E12">
        <f>ISERROR(C12)</f>
      </c>
    </row>
    <row r="13">
      <c r="A13" t="str">
        <v>F13</v>
      </c>
      <c r="B13">
        <v>4.8</v>
      </c>
      <c r="C13">
        <f>'tin9'!F13</f>
      </c>
      <c r="D13">
        <f>IF(ISERROR(C13),LEFT(B13&amp;"",1)="#",IF(ISNUMBER(C13),AND(ISNUMBER(B13),ABS(C13-B13)&lt;=0.000001*MAX(1,ABS(B13))),EXACT(C13&amp;"",B13&amp;"")))</f>
      </c>
      <c r="E13">
        <f>ISERROR(C13)</f>
      </c>
    </row>
    <row r="14">
      <c r="A14" t="str">
        <v>G2</v>
      </c>
      <c r="B14" t="str">
        <v>GIOI</v>
      </c>
      <c r="C14">
        <f>'tin9'!G2</f>
      </c>
      <c r="D14">
        <f>IF(ISERROR(C14),LEFT(B14&amp;"",1)="#",IF(ISNUMBER(C14),AND(ISNUMBER(B14),ABS(C14-B14)&lt;=0.000001*MAX(1,ABS(B14))),EXACT(C14&amp;"",B14&amp;"")))</f>
      </c>
      <c r="E14">
        <f>ISERROR(C14)</f>
      </c>
    </row>
    <row r="15">
      <c r="A15" t="str">
        <v>G3</v>
      </c>
      <c r="B15" t="str">
        <v>KHA</v>
      </c>
      <c r="C15">
        <f>'tin9'!G3</f>
      </c>
      <c r="D15">
        <f>IF(ISERROR(C15),LEFT(B15&amp;"",1)="#",IF(ISNUMBER(C15),AND(ISNUMBER(B15),ABS(C15-B15)&lt;=0.000001*MAX(1,ABS(B15))),EXACT(C15&amp;"",B15&amp;"")))</f>
      </c>
      <c r="E15">
        <f>ISERROR(C15)</f>
      </c>
    </row>
    <row r="16">
      <c r="A16" t="str">
        <v>G4</v>
      </c>
      <c r="B16" t="str">
        <v>YEU</v>
      </c>
      <c r="C16">
        <f>'tin9'!G4</f>
      </c>
      <c r="D16">
        <f>IF(ISERROR(C16),LEFT(B16&amp;"",1)="#",IF(ISNUMBER(C16),AND(ISNUMBER(B16),ABS(C16-B16)&lt;=0.000001*MAX(1,ABS(B16))),EXACT(C16&amp;"",B16&amp;"")))</f>
      </c>
      <c r="E16">
        <f>ISERROR(C16)</f>
      </c>
    </row>
    <row r="17">
      <c r="A17" t="str">
        <v>G5</v>
      </c>
      <c r="B17" t="str">
        <v>KHA</v>
      </c>
      <c r="C17">
        <f>'tin9'!G5</f>
      </c>
      <c r="D17">
        <f>IF(ISERROR(C17),LEFT(B17&amp;"",1)="#",IF(ISNUMBER(C17),AND(ISNUMBER(B17),ABS(C17-B17)&lt;=0.000001*MAX(1,ABS(B17))),EXACT(C17&amp;"",B17&amp;"")))</f>
      </c>
      <c r="E17">
        <f>ISERROR(C17)</f>
      </c>
    </row>
    <row r="18">
      <c r="A18" t="str">
        <v>G6</v>
      </c>
      <c r="B18" t="str">
        <v>TB</v>
      </c>
      <c r="C18">
        <f>'tin9'!G6</f>
      </c>
      <c r="D18">
        <f>IF(ISERROR(C18),LEFT(B18&amp;"",1)="#",IF(ISNUMBER(C18),AND(ISNUMBER(B18),ABS(C18-B18)&lt;=0.000001*MAX(1,ABS(B18))),EXACT(C18&amp;"",B18&amp;"")))</f>
      </c>
      <c r="E18">
        <f>ISERROR(C18)</f>
      </c>
    </row>
    <row r="19">
      <c r="A19" t="str">
        <v>G7</v>
      </c>
      <c r="B19" t="str">
        <v>KHA</v>
      </c>
      <c r="C19">
        <f>'tin9'!G7</f>
      </c>
      <c r="D19">
        <f>IF(ISERROR(C19),LEFT(B19&amp;"",1)="#",IF(ISNUMBER(C19),AND(ISNUMBER(B19),ABS(C19-B19)&lt;=0.000001*MAX(1,ABS(B19))),EXACT(C19&amp;"",B19&amp;"")))</f>
      </c>
      <c r="E19">
        <f>ISERROR(C19)</f>
      </c>
    </row>
    <row r="20">
      <c r="A20" t="str">
        <v>G8</v>
      </c>
      <c r="B20" t="str">
        <v>KHA</v>
      </c>
      <c r="C20">
        <f>'tin9'!G8</f>
      </c>
      <c r="D20">
        <f>IF(ISERROR(C20),LEFT(B20&amp;"",1)="#",IF(ISNUMBER(C20),AND(ISNUMBER(B20),ABS(C20-B20)&lt;=0.000001*MAX(1,ABS(B20))),EXACT(C20&amp;"",B20&amp;"")))</f>
      </c>
      <c r="E20">
        <f>ISERROR(C20)</f>
      </c>
    </row>
    <row r="21">
      <c r="A21" t="str">
        <v>G9</v>
      </c>
      <c r="B21" t="str">
        <v>TB</v>
      </c>
      <c r="C21">
        <f>'tin9'!G9</f>
      </c>
      <c r="D21">
        <f>IF(ISERROR(C21),LEFT(B21&amp;"",1)="#",IF(ISNUMBER(C21),AND(ISNUMBER(B21),ABS(C21-B21)&lt;=0.000001*MAX(1,ABS(B21))),EXACT(C21&amp;"",B21&amp;"")))</f>
      </c>
      <c r="E21">
        <f>ISERROR(C21)</f>
      </c>
    </row>
    <row r="22">
      <c r="A22" t="str">
        <v>G10</v>
      </c>
      <c r="B22" t="str">
        <v>TB</v>
      </c>
      <c r="C22">
        <f>'tin9'!G10</f>
      </c>
      <c r="D22">
        <f>IF(ISERROR(C22),LEFT(B22&amp;"",1)="#",IF(ISNUMBER(C22),AND(ISNUMBER(B22),ABS(C22-B22)&lt;=0.000001*MAX(1,ABS(B22))),EXACT(C22&amp;"",B22&amp;"")))</f>
      </c>
      <c r="E22">
        <f>ISERROR(C22)</f>
      </c>
    </row>
    <row r="23">
      <c r="A23" t="str">
        <v>G11</v>
      </c>
      <c r="B23" t="str">
        <v>GIOI</v>
      </c>
      <c r="C23">
        <f>'tin9'!G11</f>
      </c>
      <c r="D23">
        <f>IF(ISERROR(C23),LEFT(B23&amp;"",1)="#",IF(ISNUMBER(C23),AND(ISNUMBER(B23),ABS(C23-B23)&lt;=0.000001*MAX(1,ABS(B23))),EXACT(C23&amp;"",B23&amp;"")))</f>
      </c>
      <c r="E23">
        <f>ISERROR(C23)</f>
      </c>
    </row>
    <row r="24">
      <c r="A24" t="str">
        <v>G12</v>
      </c>
      <c r="B24" t="str">
        <v>KHA</v>
      </c>
      <c r="C24">
        <f>'tin9'!G12</f>
      </c>
      <c r="D24">
        <f>IF(ISERROR(C24),LEFT(B24&amp;"",1)="#",IF(ISNUMBER(C24),AND(ISNUMBER(B24),ABS(C24-B24)&lt;=0.000001*MAX(1,ABS(B24))),EXACT(C24&amp;"",B24&amp;"")))</f>
      </c>
      <c r="E24">
        <f>ISERROR(C24)</f>
      </c>
    </row>
    <row r="25">
      <c r="A25" t="str">
        <v>G13</v>
      </c>
      <c r="B25" t="str">
        <v>YEU</v>
      </c>
      <c r="C25">
        <f>'tin9'!G13</f>
      </c>
      <c r="D25">
        <f>IF(ISERROR(C25),LEFT(B25&amp;"",1)="#",IF(ISNUMBER(C25),AND(ISNUMBER(B25),ABS(C25-B25)&lt;=0.000001*MAX(1,ABS(B25))),EXACT(C25&amp;"",B25&amp;"")))</f>
      </c>
      <c r="E25">
        <f>ISERROR(C25)</f>
      </c>
    </row>
    <row r="26">
      <c r="A26" t="str">
        <v>H2</v>
      </c>
      <c r="B26">
        <v>1</v>
      </c>
      <c r="C26">
        <f>'tin9'!H2</f>
      </c>
      <c r="D26">
        <f>IF(ISERROR(C26),LEFT(B26&amp;"",1)="#",IF(ISNUMBER(C26),AND(ISNUMBER(B26),ABS(C26-B26)&lt;=0.000001*MAX(1,ABS(B26))),EXACT(C26&amp;"",B26&amp;"")))</f>
      </c>
      <c r="E26">
        <f>ISERROR(C26)</f>
      </c>
    </row>
    <row r="27">
      <c r="A27" t="str">
        <v>H3</v>
      </c>
      <c r="B27">
        <v>7</v>
      </c>
      <c r="C27">
        <f>'tin9'!H3</f>
      </c>
      <c r="D27">
        <f>IF(ISERROR(C27),LEFT(B27&amp;"",1)="#",IF(ISNUMBER(C27),AND(ISNUMBER(B27),ABS(C27-B27)&lt;=0.000001*MAX(1,ABS(B27))),EXACT(C27&amp;"",B27&amp;"")))</f>
      </c>
      <c r="E27">
        <f>ISERROR(C27)</f>
      </c>
    </row>
    <row r="28">
      <c r="A28" t="str">
        <v>H4</v>
      </c>
      <c r="B28">
        <v>12</v>
      </c>
      <c r="C28">
        <f>'tin9'!H4</f>
      </c>
      <c r="D28">
        <f>IF(ISERROR(C28),LEFT(B28&amp;"",1)="#",IF(ISNUMBER(C28),AND(ISNUMBER(B28),ABS(C28-B28)&lt;=0.000001*MAX(1,ABS(B28))),EXACT(C28&amp;"",B28&amp;"")))</f>
      </c>
      <c r="E28">
        <f>ISERROR(C28)</f>
      </c>
    </row>
    <row r="29">
      <c r="A29" t="str">
        <v>H5</v>
      </c>
      <c r="B29">
        <v>5</v>
      </c>
      <c r="C29">
        <f>'tin9'!H5</f>
      </c>
      <c r="D29">
        <f>IF(ISERROR(C29),LEFT(B29&amp;"",1)="#",IF(ISNUMBER(C29),AND(ISNUMBER(B29),ABS(C29-B29)&lt;=0.000001*MAX(1,ABS(B29))),EXACT(C29&amp;"",B29&amp;"")))</f>
      </c>
      <c r="E29">
        <f>ISERROR(C29)</f>
      </c>
    </row>
    <row r="30">
      <c r="A30" t="str">
        <v>H6</v>
      </c>
      <c r="B30">
        <v>9</v>
      </c>
      <c r="C30">
        <f>'tin9'!H6</f>
      </c>
      <c r="D30">
        <f>IF(ISERROR(C30),LEFT(B30&amp;"",1)="#",IF(ISNUMBER(C30),AND(ISNUMBER(B30),ABS(C30-B30)&lt;=0.000001*MAX(1,ABS(B30))),EXACT(C30&amp;"",B30&amp;"")))</f>
      </c>
      <c r="E30">
        <f>ISERROR(C30)</f>
      </c>
    </row>
    <row r="31">
      <c r="A31" t="str">
        <v>H7</v>
      </c>
      <c r="B31">
        <v>6</v>
      </c>
      <c r="C31">
        <f>'tin9'!H7</f>
      </c>
      <c r="D31">
        <f>IF(ISERROR(C31),LEFT(B31&amp;"",1)="#",IF(ISNUMBER(C31),AND(ISNUMBER(B31),ABS(C31-B31)&lt;=0.000001*MAX(1,ABS(B31))),EXACT(C31&amp;"",B31&amp;"")))</f>
      </c>
      <c r="E31">
        <f>ISERROR(C31)</f>
      </c>
    </row>
    <row r="32">
      <c r="A32" t="str">
        <v>H8</v>
      </c>
      <c r="B32">
        <v>4</v>
      </c>
      <c r="C32">
        <f>'tin9'!H8</f>
      </c>
      <c r="D32">
        <f>IF(ISERROR(C32),LEFT(B32&amp;"",1)="#",IF(ISNUMBER(C32),AND(ISNUMBER(B32),ABS(C32-B32)&lt;=0.000001*MAX(1,ABS(B32))),EXACT(C32&amp;"",B32&amp;"")))</f>
      </c>
      <c r="E32">
        <f>ISERROR(C32)</f>
      </c>
    </row>
    <row r="33">
      <c r="A33" t="str">
        <v>H9</v>
      </c>
      <c r="B33">
        <v>9</v>
      </c>
      <c r="C33">
        <f>'tin9'!H9</f>
      </c>
      <c r="D33">
        <f>IF(ISERROR(C33),LEFT(B33&amp;"",1)="#",IF(ISNUMBER(C33),AND(ISNUMBER(B33),ABS(C33-B33)&lt;=0.000001*MAX(1,ABS(B33))),EXACT(C33&amp;"",B33&amp;"")))</f>
      </c>
      <c r="E33">
        <f>ISERROR(C33)</f>
      </c>
    </row>
    <row r="34">
      <c r="A34" t="str">
        <v>H10</v>
      </c>
      <c r="B34">
        <v>8</v>
      </c>
      <c r="C34">
        <f>'tin9'!H10</f>
      </c>
      <c r="D34">
        <f>IF(ISERROR(C34),LEFT(B34&amp;"",1)="#",IF(ISNUMBER(C34),AND(ISNUMBER(B34),ABS(C34-B34)&lt;=0.000001*MAX(1,ABS(B34))),EXACT(C34&amp;"",B34&amp;"")))</f>
      </c>
      <c r="E34">
        <f>ISERROR(C34)</f>
      </c>
    </row>
    <row r="35">
      <c r="A35" t="str">
        <v>H11</v>
      </c>
      <c r="B35">
        <v>2</v>
      </c>
      <c r="C35">
        <f>'tin9'!H11</f>
      </c>
      <c r="D35">
        <f>IF(ISERROR(C35),LEFT(B35&amp;"",1)="#",IF(ISNUMBER(C35),AND(ISNUMBER(B35),ABS(C35-B35)&lt;=0.000001*MAX(1,ABS(B35))),EXACT(C35&amp;"",B35&amp;"")))</f>
      </c>
      <c r="E35">
        <f>ISERROR(C35)</f>
      </c>
    </row>
    <row r="36">
      <c r="A36" t="str">
        <v>H12</v>
      </c>
      <c r="B36">
        <v>3</v>
      </c>
      <c r="C36">
        <f>'tin9'!H12</f>
      </c>
      <c r="D36">
        <f>IF(ISERROR(C36),LEFT(B36&amp;"",1)="#",IF(ISNUMBER(C36),AND(ISNUMBER(B36),ABS(C36-B36)&lt;=0.000001*MAX(1,ABS(B36))),EXACT(C36&amp;"",B36&amp;"")))</f>
      </c>
      <c r="E36">
        <f>ISERROR(C36)</f>
      </c>
    </row>
    <row r="37">
      <c r="A37" t="str">
        <v>H13</v>
      </c>
      <c r="B37">
        <v>11</v>
      </c>
      <c r="C37">
        <f>'tin9'!H13</f>
      </c>
      <c r="D37">
        <f>IF(ISERROR(C37),LEFT(B37&amp;"",1)="#",IF(ISNUMBER(C37),AND(ISNUMBER(B37),ABS(C37-B37)&lt;=0.000001*MAX(1,ABS(B37))),EXACT(C37&amp;"",B37&amp;"")))</f>
      </c>
      <c r="E37">
        <f>ISERROR(C37)</f>
      </c>
    </row>
    <row r="38">
      <c r="A38" t="str">
        <v>Z2</v>
      </c>
      <c r="B38" t="str">
        <v>HS01</v>
      </c>
      <c r="C38">
        <f>'tin9'!Z2</f>
      </c>
      <c r="D38">
        <f>IF(ISERROR(C38),LEFT(B38&amp;"",1)="#",IF(ISNUMBER(C38),AND(ISNUMBER(B38),ABS(C38-B38)&lt;=0.000001*MAX(1,ABS(B38))),EXACT(C38&amp;"",B38&amp;"")))</f>
      </c>
      <c r="E38">
        <f>ISERROR(C38)</f>
      </c>
    </row>
    <row r="39">
      <c r="A39" t="str">
        <v>Z3</v>
      </c>
      <c r="B39">
        <v>1</v>
      </c>
      <c r="C39">
        <f>'tin9'!Z3</f>
      </c>
      <c r="D39">
        <f>IF(ISERROR(C39),LEFT(B39&amp;"",1)="#",IF(ISNUMBER(C39),AND(ISNUMBER(B39),ABS(C39-B39)&lt;=0.000001*MAX(1,ABS(B39))),EXACT(C39&amp;"",B39&amp;"")))</f>
      </c>
      <c r="E39">
        <f>ISERROR(C39)</f>
      </c>
    </row>
    <row r="40">
      <c r="A40" t="str">
        <v>Z4</v>
      </c>
      <c r="B40">
        <v>6.45</v>
      </c>
      <c r="C40">
        <f>'tin9'!Z4</f>
      </c>
      <c r="D40">
        <f>IF(ISERROR(C40),LEFT(B40&amp;"",1)="#",IF(ISNUMBER(C40),AND(ISNUMBER(B40),ABS(C40-B40)&lt;=0.000001*MAX(1,ABS(B40))),EXACT(C40&amp;"",B40&amp;"")))</f>
      </c>
      <c r="E40">
        <f>ISERROR(C40)</f>
      </c>
    </row>
    <row r="41">
      <c r="A41" t="str">
        <v>Z5</v>
      </c>
      <c r="B41">
        <v>8.8</v>
      </c>
      <c r="C41">
        <f>'tin9'!Z5</f>
      </c>
      <c r="D41">
        <f>IF(ISERROR(C41),LEFT(B41&amp;"",1)="#",IF(ISNUMBER(C41),AND(ISNUMBER(B41),ABS(C41-B41)&lt;=0.000001*MAX(1,ABS(B41))),EXACT(C41&amp;"",B41&amp;"")))</f>
      </c>
      <c r="E41">
        <f>ISERROR(C41)</f>
      </c>
    </row>
    <row r="42">
      <c r="A42" t="str">
        <v>Z6</v>
      </c>
      <c r="B42">
        <v>9.6</v>
      </c>
      <c r="C42">
        <f>'tin9'!Z6</f>
      </c>
      <c r="D42">
        <f>IF(ISERROR(C42),LEFT(B42&amp;"",1)="#",IF(ISNUMBER(C42),AND(ISNUMBER(B42),ABS(C42-B42)&lt;=0.000001*MAX(1,ABS(B42))),EXACT(C42&amp;"",B42&amp;"")))</f>
      </c>
      <c r="E42">
        <f>ISERROR(C42)</f>
      </c>
    </row>
    <row r="43">
      <c r="A43" t="str">
        <v>Z7</v>
      </c>
      <c r="B43">
        <v>2</v>
      </c>
      <c r="C43">
        <f>'tin9'!Z7</f>
      </c>
      <c r="D43">
        <f>IF(ISERROR(C43),LEFT(B43&amp;"",1)="#",IF(ISNUMBER(C43),AND(ISNUMBER(B43),ABS(C43-B43)&lt;=0.000001*MAX(1,ABS(B43))),EXACT(C43&amp;"",B43&amp;"")))</f>
      </c>
      <c r="E43">
        <f>ISERROR(C43)</f>
      </c>
    </row>
    <row r="44">
      <c r="A44" t="str">
        <v>Z8</v>
      </c>
      <c r="B44">
        <v>2</v>
      </c>
      <c r="C44">
        <f>'tin9'!Z8</f>
      </c>
      <c r="D44">
        <f>IF(ISERROR(C44),LEFT(B44&amp;"",1)="#",IF(ISNUMBER(C44),AND(ISNUMBER(B44),ABS(C44-B44)&lt;=0.000001*MAX(1,ABS(B44))),EXACT(C44&amp;"",B44&amp;"")))</f>
      </c>
      <c r="E44">
        <f>ISERROR(C44)</f>
      </c>
    </row>
    <row r="45">
      <c r="A45" t="str">
        <v>Z9</v>
      </c>
      <c r="B45">
        <v>18.4</v>
      </c>
      <c r="C45">
        <f>'tin9'!Z9</f>
      </c>
      <c r="D45">
        <f>IF(ISERROR(C45),LEFT(B45&amp;"",1)="#",IF(ISNUMBER(C45),AND(ISNUMBER(B45),ABS(C45-B45)&lt;=0.000001*MAX(1,ABS(B45))),EXACT(C45&amp;"",B45&amp;"")))</f>
      </c>
      <c r="E45">
        <f>ISERROR(C45)</f>
      </c>
    </row>
    <row r="46">
      <c r="A46" t="str">
        <v>Z10</v>
      </c>
      <c r="B46">
        <v>7</v>
      </c>
      <c r="C46">
        <f>'tin9'!Z10</f>
      </c>
      <c r="D46">
        <f>IF(ISERROR(C46),LEFT(B46&amp;"",1)="#",IF(ISNUMBER(C46),AND(ISNUMBER(B46),ABS(C46-B46)&lt;=0.000001*MAX(1,ABS(B46))),EXACT(C46&amp;"",B46&amp;"")))</f>
      </c>
      <c r="E46">
        <f>ISERROR(C46)</f>
      </c>
    </row>
  </sheetData>
  <ignoredErrors>
    <ignoredError numberStoredAsText="1" sqref="A1:E46"/>
  </ignoredErrors>
</worksheet>
</file>

<file path=xl/worksheets/sheet2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MaPT</v>
      </c>
      <c r="B1" t="str">
        <v>a</v>
      </c>
      <c r="C1" t="str">
        <v>b</v>
      </c>
      <c r="D1" t="str">
        <v>c</v>
      </c>
      <c r="E1" t="str">
        <v>Delta</v>
      </c>
      <c r="F1" t="str">
        <v>SoNghiem</v>
      </c>
      <c r="G1" t="str">
        <v>LoaiNghiem</v>
      </c>
      <c r="H1" t="str">
        <v>TongNghiem</v>
      </c>
      <c r="I1" t="str">
        <v>TichNghiem</v>
      </c>
      <c r="J1" t="str">
        <v>X1</v>
      </c>
      <c r="W1" t="str">
        <v>LoaiNghiem</v>
      </c>
      <c r="Y1" t="str">
        <v>TongHop</v>
      </c>
      <c r="Z1" t="str">
        <v>KetQua</v>
      </c>
    </row>
    <row r="2">
      <c r="A2" t="str">
        <v>PT01</v>
      </c>
      <c r="B2">
        <v>1</v>
      </c>
      <c r="C2">
        <v>1</v>
      </c>
      <c r="D2">
        <v>5</v>
      </c>
      <c r="E2">
        <f>C2^2-4*B2*D2</f>
        <v>-19</v>
      </c>
      <c r="F2">
        <f>IF(E2&gt;0,2,IF(E2=0,1,0))</f>
        <v>0</v>
      </c>
      <c r="G2" t="str">
        <f>IF(E2&lt;0,"VO NGHIEM",IF(E2=0,"NGHIEM KEP","HAI NGHIEM"))</f>
        <v>VO NGHIEM</v>
      </c>
      <c r="H2">
        <f>ROUND(-C2/B2,2)</f>
        <v>-1</v>
      </c>
      <c r="I2">
        <f>ROUND(D2/B2,2)</f>
        <v>5</v>
      </c>
      <c r="J2">
        <f>IF(E2&lt;0,0,ROUND((-C2+SQRT(E2))/(2*B2),2))</f>
        <v>0</v>
      </c>
      <c r="W2" t="str">
        <v>HAI NGHIEM</v>
      </c>
      <c r="Y2" t="str">
        <v>Ma MaPT co Delta lon nhat</v>
      </c>
      <c r="Z2" t="str">
        <f>INDEX(A2:A13,MATCH(MAX(E2:E13),E2:E13,0))</f>
        <v>PT10</v>
      </c>
    </row>
    <row r="3">
      <c r="A3" t="str">
        <v>PT02</v>
      </c>
      <c r="B3">
        <v>1</v>
      </c>
      <c r="C3">
        <v>-4</v>
      </c>
      <c r="D3">
        <v>4</v>
      </c>
      <c r="E3">
        <f>C3^2-4*B3*D3</f>
        <v>0</v>
      </c>
      <c r="F3">
        <f>IF(E3&gt;0,2,IF(E3=0,1,0))</f>
        <v>1</v>
      </c>
      <c r="G3" t="str">
        <f>IF(E3&lt;0,"VO NGHIEM",IF(E3=0,"NGHIEM KEP","HAI NGHIEM"))</f>
        <v>NGHIEM KEP</v>
      </c>
      <c r="H3">
        <f>ROUND(-C3/B3,2)</f>
        <v>4</v>
      </c>
      <c r="I3">
        <f>ROUND(D3/B3,2)</f>
        <v>4</v>
      </c>
      <c r="J3">
        <f>IF(E3&lt;0,0,ROUND((-C3+SQRT(E3))/(2*B3),2))</f>
        <v>2</v>
      </c>
      <c r="Y3" t="str">
        <v>Tong Delta khi LoaiNghiem = HAI NGHIEM</v>
      </c>
      <c r="Z3">
        <f>SUMIF(G2:G13,"HAI NGHIEM",E2:E13)</f>
        <v>319</v>
      </c>
    </row>
    <row r="4">
      <c r="A4" t="str">
        <v>PT03</v>
      </c>
      <c r="B4">
        <v>1</v>
      </c>
      <c r="C4">
        <v>-5</v>
      </c>
      <c r="D4">
        <v>6</v>
      </c>
      <c r="E4">
        <f>C4^2-4*B4*D4</f>
        <v>1</v>
      </c>
      <c r="F4">
        <f>IF(E4&gt;0,2,IF(E4=0,1,0))</f>
        <v>2</v>
      </c>
      <c r="G4" t="str">
        <f>IF(E4&lt;0,"VO NGHIEM",IF(E4=0,"NGHIEM KEP","HAI NGHIEM"))</f>
        <v>HAI NGHIEM</v>
      </c>
      <c r="H4">
        <f>ROUND(-C4/B4,2)</f>
        <v>5</v>
      </c>
      <c r="I4">
        <f>ROUND(D4/B4,2)</f>
        <v>6</v>
      </c>
      <c r="J4">
        <f>IF(E4&lt;0,0,ROUND((-C4+SQRT(E4))/(2*B4),2))</f>
        <v>3</v>
      </c>
      <c r="Y4" t="str">
        <v>So dong LoaiNghiem = VO NGHIEM, a &gt;0</v>
      </c>
      <c r="Z4">
        <f>COUNTIFS(G2:G13,"VO NGHIEM",B2:B13,"&gt;0")</f>
        <v>2</v>
      </c>
    </row>
    <row r="5">
      <c r="A5" t="str">
        <v>PT04</v>
      </c>
      <c r="B5">
        <v>-1</v>
      </c>
      <c r="C5">
        <v>-1</v>
      </c>
      <c r="D5">
        <v>0</v>
      </c>
      <c r="E5">
        <f>C5^2-4*B5*D5</f>
        <v>1</v>
      </c>
      <c r="F5">
        <f>IF(E5&gt;0,2,IF(E5=0,1,0))</f>
        <v>2</v>
      </c>
      <c r="G5" t="str">
        <f>IF(E5&lt;0,"VO NGHIEM",IF(E5=0,"NGHIEM KEP","HAI NGHIEM"))</f>
        <v>HAI NGHIEM</v>
      </c>
      <c r="H5">
        <f>ROUND(-C5/B5,2)</f>
        <v>-1</v>
      </c>
      <c r="I5">
        <f>ROUND(D5/B5,2)</f>
        <v>0</v>
      </c>
      <c r="J5">
        <f>IF(E5&lt;0,0,ROUND((-C5+SQRT(E5))/(2*B5),2))</f>
        <v>-1</v>
      </c>
      <c r="Y5" t="str">
        <v>TongNghiem trung binh khi LoaiNghiem = HAI NGHIEM</v>
      </c>
      <c r="Z5">
        <f>AVERAGEIF(G2:G13,"HAI NGHIEM",H2:H13)</f>
        <v>-0.625</v>
      </c>
    </row>
    <row r="6">
      <c r="A6" t="str">
        <v>PT05</v>
      </c>
      <c r="B6">
        <v>1</v>
      </c>
      <c r="C6">
        <v>-6</v>
      </c>
      <c r="D6">
        <v>7</v>
      </c>
      <c r="E6">
        <f>C6^2-4*B6*D6</f>
        <v>8</v>
      </c>
      <c r="F6">
        <f>IF(E6&gt;0,2,IF(E6=0,1,0))</f>
        <v>2</v>
      </c>
      <c r="G6" t="str">
        <f>IF(E6&lt;0,"VO NGHIEM",IF(E6=0,"NGHIEM KEP","HAI NGHIEM"))</f>
        <v>HAI NGHIEM</v>
      </c>
      <c r="H6">
        <f>ROUND(-C6/B6,2)</f>
        <v>6</v>
      </c>
      <c r="I6">
        <f>ROUND(D6/B6,2)</f>
        <v>7</v>
      </c>
      <c r="J6">
        <f>IF(E6&lt;0,0,ROUND((-C6+SQRT(E6))/(2*B6),2))</f>
        <v>4.41</v>
      </c>
      <c r="Y6" t="str">
        <v>X1 lon nhat khi LoaiNghiem = HAI NGHIEM</v>
      </c>
      <c r="Z6">
        <f>_xlfn.MAXIFS(J2:J13,G2:G13,"HAI NGHIEM")</f>
        <v>4.41</v>
      </c>
    </row>
    <row r="7">
      <c r="A7" t="str">
        <v>PT06</v>
      </c>
      <c r="B7">
        <v>1</v>
      </c>
      <c r="C7">
        <v>7</v>
      </c>
      <c r="D7">
        <v>-4</v>
      </c>
      <c r="E7">
        <f>C7^2-4*B7*D7</f>
        <v>65</v>
      </c>
      <c r="F7">
        <f>IF(E7&gt;0,2,IF(E7=0,1,0))</f>
        <v>2</v>
      </c>
      <c r="G7" t="str">
        <f>IF(E7&lt;0,"VO NGHIEM",IF(E7=0,"NGHIEM KEP","HAI NGHIEM"))</f>
        <v>HAI NGHIEM</v>
      </c>
      <c r="H7">
        <f>ROUND(-C7/B7,2)</f>
        <v>-7</v>
      </c>
      <c r="I7">
        <f>ROUND(D7/B7,2)</f>
        <v>-4</v>
      </c>
      <c r="J7">
        <f>IF(E7&lt;0,0,ROUND((-C7+SQRT(E7))/(2*B7),2))</f>
        <v>0.53</v>
      </c>
      <c r="Y7" t="str">
        <v>Delta trung vi</v>
      </c>
      <c r="Z7">
        <f>MEDIAN(E2:E13)</f>
        <v>4.5</v>
      </c>
    </row>
    <row r="8">
      <c r="A8" t="str">
        <v>PT07</v>
      </c>
      <c r="B8">
        <v>-1</v>
      </c>
      <c r="C8">
        <v>3</v>
      </c>
      <c r="D8">
        <v>-4</v>
      </c>
      <c r="E8">
        <f>C8^2-4*B8*D8</f>
        <v>-7</v>
      </c>
      <c r="F8">
        <f>IF(E8&gt;0,2,IF(E8=0,1,0))</f>
        <v>0</v>
      </c>
      <c r="G8" t="str">
        <f>IF(E8&lt;0,"VO NGHIEM",IF(E8=0,"NGHIEM KEP","HAI NGHIEM"))</f>
        <v>VO NGHIEM</v>
      </c>
      <c r="H8">
        <f>ROUND(-C8/B8,2)</f>
        <v>3</v>
      </c>
      <c r="I8">
        <f>ROUND(D8/B8,2)</f>
        <v>4</v>
      </c>
      <c r="J8">
        <f>IF(E8&lt;0,0,ROUND((-C8+SQRT(E8))/(2*B8),2))</f>
        <v>0</v>
      </c>
      <c r="Y8" t="str">
        <v>Delta lon thu hai</v>
      </c>
      <c r="Z8">
        <f>LARGE(E2:E13,2)</f>
        <v>73</v>
      </c>
    </row>
    <row r="9">
      <c r="A9" t="str">
        <v>PT08</v>
      </c>
      <c r="B9">
        <v>2</v>
      </c>
      <c r="C9">
        <v>6</v>
      </c>
      <c r="D9">
        <v>5</v>
      </c>
      <c r="E9">
        <f>C9^2-4*B9*D9</f>
        <v>-4</v>
      </c>
      <c r="F9">
        <f>IF(E9&gt;0,2,IF(E9=0,1,0))</f>
        <v>0</v>
      </c>
      <c r="G9" t="str">
        <f>IF(E9&lt;0,"VO NGHIEM",IF(E9=0,"NGHIEM KEP","HAI NGHIEM"))</f>
        <v>VO NGHIEM</v>
      </c>
      <c r="H9">
        <f>ROUND(-C9/B9,2)</f>
        <v>-3</v>
      </c>
      <c r="I9">
        <f>ROUND(D9/B9,2)</f>
        <v>2.5</v>
      </c>
      <c r="J9">
        <f>IF(E9&lt;0,0,ROUND((-C9+SQRT(E9))/(2*B9),2))</f>
        <v>0</v>
      </c>
      <c r="Y9" t="str">
        <v>Do lech chuan TichNghiem</v>
      </c>
      <c r="Z9">
        <f>ROUND(STDEV(I2:I13),2)</f>
        <v>4.1</v>
      </c>
    </row>
    <row r="10">
      <c r="A10" t="str">
        <v>PT09</v>
      </c>
      <c r="B10">
        <v>-2</v>
      </c>
      <c r="C10">
        <v>-5</v>
      </c>
      <c r="D10">
        <v>6</v>
      </c>
      <c r="E10">
        <f>C10^2-4*B10*D10</f>
        <v>73</v>
      </c>
      <c r="F10">
        <f>IF(E10&gt;0,2,IF(E10=0,1,0))</f>
        <v>2</v>
      </c>
      <c r="G10" t="str">
        <f>IF(E10&lt;0,"VO NGHIEM",IF(E10=0,"NGHIEM KEP","HAI NGHIEM"))</f>
        <v>HAI NGHIEM</v>
      </c>
      <c r="H10">
        <f>ROUND(-C10/B10,2)</f>
        <v>-2.5</v>
      </c>
      <c r="I10">
        <f>ROUND(D10/B10,2)</f>
        <v>-3</v>
      </c>
      <c r="J10">
        <f>IF(E10&lt;0,0,ROUND((-C10+SQRT(E10))/(2*B10),2))</f>
        <v>-3.39</v>
      </c>
      <c r="Y10" t="str">
        <v>Tong Delta theo tieu chi W1:W2</v>
      </c>
      <c r="Z10">
        <f>DSUM(A1:J13,"Delta",W1:W2)</f>
        <v>319</v>
      </c>
    </row>
    <row r="11">
      <c r="A11" t="str">
        <v>PT10</v>
      </c>
      <c r="B11">
        <v>-2</v>
      </c>
      <c r="C11">
        <v>-5</v>
      </c>
      <c r="D11">
        <v>8</v>
      </c>
      <c r="E11">
        <f>C11^2-4*B11*D11</f>
        <v>89</v>
      </c>
      <c r="F11">
        <f>IF(E11&gt;0,2,IF(E11=0,1,0))</f>
        <v>2</v>
      </c>
      <c r="G11" t="str">
        <f>IF(E11&lt;0,"VO NGHIEM",IF(E11=0,"NGHIEM KEP","HAI NGHIEM"))</f>
        <v>HAI NGHIEM</v>
      </c>
      <c r="H11">
        <f>ROUND(-C11/B11,2)</f>
        <v>-2.5</v>
      </c>
      <c r="I11">
        <f>ROUND(D11/B11,2)</f>
        <v>-4</v>
      </c>
      <c r="J11">
        <f>IF(E11&lt;0,0,ROUND((-C11+SQRT(E11))/(2*B11),2))</f>
        <v>-3.61</v>
      </c>
      <c r="Y11" t="str">
        <v>So dong theo tieu chi W1:W2</v>
      </c>
      <c r="Z11">
        <f>DCOUNT(A1:J13,"Delta",W1:W2)</f>
        <v>8</v>
      </c>
    </row>
    <row r="12">
      <c r="A12" t="str">
        <v>PT11</v>
      </c>
      <c r="B12">
        <v>-2</v>
      </c>
      <c r="C12">
        <v>-5</v>
      </c>
      <c r="D12">
        <v>0</v>
      </c>
      <c r="E12">
        <f>C12^2-4*B12*D12</f>
        <v>25</v>
      </c>
      <c r="F12">
        <f>IF(E12&gt;0,2,IF(E12=0,1,0))</f>
        <v>2</v>
      </c>
      <c r="G12" t="str">
        <f>IF(E12&lt;0,"VO NGHIEM",IF(E12=0,"NGHIEM KEP","HAI NGHIEM"))</f>
        <v>HAI NGHIEM</v>
      </c>
      <c r="H12">
        <f>ROUND(-C12/B12,2)</f>
        <v>-2.5</v>
      </c>
      <c r="I12">
        <f>ROUND(D12/B12,2)</f>
        <v>0</v>
      </c>
      <c r="J12">
        <f>IF(E12&lt;0,0,ROUND((-C12+SQRT(E12))/(2*B12),2))</f>
        <v>-2.5</v>
      </c>
      <c r="Y12" t="str">
        <v>Tong Delta khi LoaiNghiem = HAI NGHIEM (SUMPRODUCT)</v>
      </c>
      <c r="Z12">
        <f>SUMPRODUCT((G2:G13="HAI NGHIEM")*E2:E13)</f>
        <v>319</v>
      </c>
    </row>
    <row r="13">
      <c r="A13" t="str">
        <v>PT12</v>
      </c>
      <c r="B13">
        <v>2</v>
      </c>
      <c r="C13">
        <v>1</v>
      </c>
      <c r="D13">
        <v>-7</v>
      </c>
      <c r="E13">
        <f>C13^2-4*B13*D13</f>
        <v>57</v>
      </c>
      <c r="F13">
        <f>IF(E13&gt;0,2,IF(E13=0,1,0))</f>
        <v>2</v>
      </c>
      <c r="G13" t="str">
        <f>IF(E13&lt;0,"VO NGHIEM",IF(E13=0,"NGHIEM KEP","HAI NGHIEM"))</f>
        <v>HAI NGHIEM</v>
      </c>
      <c r="H13">
        <f>ROUND(-C13/B13,2)</f>
        <v>-0.5</v>
      </c>
      <c r="I13">
        <f>ROUND(D13/B13,2)</f>
        <v>-3.5</v>
      </c>
      <c r="J13">
        <f>IF(E13&lt;0,0,ROUND((-C13+SQRT(E13))/(2*B13),2))</f>
        <v>1.64</v>
      </c>
      <c r="Y13" t="str">
        <v>Tong a x c</v>
      </c>
      <c r="Z13">
        <f>SUMPRODUCT(B2:B13,D2:D13)</f>
        <v>-10</v>
      </c>
    </row>
  </sheetData>
  <ignoredErrors>
    <ignoredError numberStoredAsText="1" sqref="A1:Z13"/>
  </ignoredErrors>
</worksheet>
</file>

<file path=xl/worksheets/sheet21.xml><?xml version="1.0" encoding="utf-8"?>
<worksheet xmlns="http://schemas.openxmlformats.org/spreadsheetml/2006/main" xmlns:r="http://schemas.openxmlformats.org/officeDocument/2006/relationships">
  <dimension ref="A1:E85"/>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-19</v>
      </c>
      <c r="C2">
        <f>'toan9'!E2</f>
      </c>
      <c r="D2">
        <f>IF(ISERROR(C2),LEFT(B2&amp;"",1)="#",IF(ISNUMBER(C2),AND(ISNUMBER(B2),ABS(C2-B2)&lt;=0.000001*MAX(1,ABS(B2))),EXACT(C2&amp;"",B2&amp;"")))</f>
      </c>
      <c r="E2">
        <f>ISERROR(C2)</f>
      </c>
    </row>
    <row r="3">
      <c r="A3" t="str">
        <v>E3</v>
      </c>
      <c r="B3">
        <v>0</v>
      </c>
      <c r="C3">
        <f>'toan9'!E3</f>
      </c>
      <c r="D3">
        <f>IF(ISERROR(C3),LEFT(B3&amp;"",1)="#",IF(ISNUMBER(C3),AND(ISNUMBER(B3),ABS(C3-B3)&lt;=0.000001*MAX(1,ABS(B3))),EXACT(C3&amp;"",B3&amp;"")))</f>
      </c>
      <c r="E3">
        <f>ISERROR(C3)</f>
      </c>
    </row>
    <row r="4">
      <c r="A4" t="str">
        <v>E4</v>
      </c>
      <c r="B4">
        <v>1</v>
      </c>
      <c r="C4">
        <f>'toan9'!E4</f>
      </c>
      <c r="D4">
        <f>IF(ISERROR(C4),LEFT(B4&amp;"",1)="#",IF(ISNUMBER(C4),AND(ISNUMBER(B4),ABS(C4-B4)&lt;=0.000001*MAX(1,ABS(B4))),EXACT(C4&amp;"",B4&amp;"")))</f>
      </c>
      <c r="E4">
        <f>ISERROR(C4)</f>
      </c>
    </row>
    <row r="5">
      <c r="A5" t="str">
        <v>E5</v>
      </c>
      <c r="B5">
        <v>1</v>
      </c>
      <c r="C5">
        <f>'toan9'!E5</f>
      </c>
      <c r="D5">
        <f>IF(ISERROR(C5),LEFT(B5&amp;"",1)="#",IF(ISNUMBER(C5),AND(ISNUMBER(B5),ABS(C5-B5)&lt;=0.000001*MAX(1,ABS(B5))),EXACT(C5&amp;"",B5&amp;"")))</f>
      </c>
      <c r="E5">
        <f>ISERROR(C5)</f>
      </c>
    </row>
    <row r="6">
      <c r="A6" t="str">
        <v>E6</v>
      </c>
      <c r="B6">
        <v>8</v>
      </c>
      <c r="C6">
        <f>'toan9'!E6</f>
      </c>
      <c r="D6">
        <f>IF(ISERROR(C6),LEFT(B6&amp;"",1)="#",IF(ISNUMBER(C6),AND(ISNUMBER(B6),ABS(C6-B6)&lt;=0.000001*MAX(1,ABS(B6))),EXACT(C6&amp;"",B6&amp;"")))</f>
      </c>
      <c r="E6">
        <f>ISERROR(C6)</f>
      </c>
    </row>
    <row r="7">
      <c r="A7" t="str">
        <v>E7</v>
      </c>
      <c r="B7">
        <v>65</v>
      </c>
      <c r="C7">
        <f>'toan9'!E7</f>
      </c>
      <c r="D7">
        <f>IF(ISERROR(C7),LEFT(B7&amp;"",1)="#",IF(ISNUMBER(C7),AND(ISNUMBER(B7),ABS(C7-B7)&lt;=0.000001*MAX(1,ABS(B7))),EXACT(C7&amp;"",B7&amp;"")))</f>
      </c>
      <c r="E7">
        <f>ISERROR(C7)</f>
      </c>
    </row>
    <row r="8">
      <c r="A8" t="str">
        <v>E8</v>
      </c>
      <c r="B8">
        <v>-7</v>
      </c>
      <c r="C8">
        <f>'toan9'!E8</f>
      </c>
      <c r="D8">
        <f>IF(ISERROR(C8),LEFT(B8&amp;"",1)="#",IF(ISNUMBER(C8),AND(ISNUMBER(B8),ABS(C8-B8)&lt;=0.000001*MAX(1,ABS(B8))),EXACT(C8&amp;"",B8&amp;"")))</f>
      </c>
      <c r="E8">
        <f>ISERROR(C8)</f>
      </c>
    </row>
    <row r="9">
      <c r="A9" t="str">
        <v>E9</v>
      </c>
      <c r="B9">
        <v>-4</v>
      </c>
      <c r="C9">
        <f>'toan9'!E9</f>
      </c>
      <c r="D9">
        <f>IF(ISERROR(C9),LEFT(B9&amp;"",1)="#",IF(ISNUMBER(C9),AND(ISNUMBER(B9),ABS(C9-B9)&lt;=0.000001*MAX(1,ABS(B9))),EXACT(C9&amp;"",B9&amp;"")))</f>
      </c>
      <c r="E9">
        <f>ISERROR(C9)</f>
      </c>
    </row>
    <row r="10">
      <c r="A10" t="str">
        <v>E10</v>
      </c>
      <c r="B10">
        <v>73</v>
      </c>
      <c r="C10">
        <f>'toan9'!E10</f>
      </c>
      <c r="D10">
        <f>IF(ISERROR(C10),LEFT(B10&amp;"",1)="#",IF(ISNUMBER(C10),AND(ISNUMBER(B10),ABS(C10-B10)&lt;=0.000001*MAX(1,ABS(B10))),EXACT(C10&amp;"",B10&amp;"")))</f>
      </c>
      <c r="E10">
        <f>ISERROR(C10)</f>
      </c>
    </row>
    <row r="11">
      <c r="A11" t="str">
        <v>E11</v>
      </c>
      <c r="B11">
        <v>89</v>
      </c>
      <c r="C11">
        <f>'toan9'!E11</f>
      </c>
      <c r="D11">
        <f>IF(ISERROR(C11),LEFT(B11&amp;"",1)="#",IF(ISNUMBER(C11),AND(ISNUMBER(B11),ABS(C11-B11)&lt;=0.000001*MAX(1,ABS(B11))),EXACT(C11&amp;"",B11&amp;"")))</f>
      </c>
      <c r="E11">
        <f>ISERROR(C11)</f>
      </c>
    </row>
    <row r="12">
      <c r="A12" t="str">
        <v>E12</v>
      </c>
      <c r="B12">
        <v>25</v>
      </c>
      <c r="C12">
        <f>'toan9'!E12</f>
      </c>
      <c r="D12">
        <f>IF(ISERROR(C12),LEFT(B12&amp;"",1)="#",IF(ISNUMBER(C12),AND(ISNUMBER(B12),ABS(C12-B12)&lt;=0.000001*MAX(1,ABS(B12))),EXACT(C12&amp;"",B12&amp;"")))</f>
      </c>
      <c r="E12">
        <f>ISERROR(C12)</f>
      </c>
    </row>
    <row r="13">
      <c r="A13" t="str">
        <v>E13</v>
      </c>
      <c r="B13">
        <v>57</v>
      </c>
      <c r="C13">
        <f>'toan9'!E13</f>
      </c>
      <c r="D13">
        <f>IF(ISERROR(C13),LEFT(B13&amp;"",1)="#",IF(ISNUMBER(C13),AND(ISNUMBER(B13),ABS(C13-B13)&lt;=0.000001*MAX(1,ABS(B13))),EXACT(C13&amp;"",B13&amp;"")))</f>
      </c>
      <c r="E13">
        <f>ISERROR(C13)</f>
      </c>
    </row>
    <row r="14">
      <c r="A14" t="str">
        <v>F2</v>
      </c>
      <c r="B14">
        <v>0</v>
      </c>
      <c r="C14">
        <f>'toan9'!F2</f>
      </c>
      <c r="D14">
        <f>IF(ISERROR(C14),LEFT(B14&amp;"",1)="#",IF(ISNUMBER(C14),AND(ISNUMBER(B14),ABS(C14-B14)&lt;=0.000001*MAX(1,ABS(B14))),EXACT(C14&amp;"",B14&amp;"")))</f>
      </c>
      <c r="E14">
        <f>ISERROR(C14)</f>
      </c>
    </row>
    <row r="15">
      <c r="A15" t="str">
        <v>F3</v>
      </c>
      <c r="B15">
        <v>1</v>
      </c>
      <c r="C15">
        <f>'toan9'!F3</f>
      </c>
      <c r="D15">
        <f>IF(ISERROR(C15),LEFT(B15&amp;"",1)="#",IF(ISNUMBER(C15),AND(ISNUMBER(B15),ABS(C15-B15)&lt;=0.000001*MAX(1,ABS(B15))),EXACT(C15&amp;"",B15&amp;"")))</f>
      </c>
      <c r="E15">
        <f>ISERROR(C15)</f>
      </c>
    </row>
    <row r="16">
      <c r="A16" t="str">
        <v>F4</v>
      </c>
      <c r="B16">
        <v>2</v>
      </c>
      <c r="C16">
        <f>'toan9'!F4</f>
      </c>
      <c r="D16">
        <f>IF(ISERROR(C16),LEFT(B16&amp;"",1)="#",IF(ISNUMBER(C16),AND(ISNUMBER(B16),ABS(C16-B16)&lt;=0.000001*MAX(1,ABS(B16))),EXACT(C16&amp;"",B16&amp;"")))</f>
      </c>
      <c r="E16">
        <f>ISERROR(C16)</f>
      </c>
    </row>
    <row r="17">
      <c r="A17" t="str">
        <v>F5</v>
      </c>
      <c r="B17">
        <v>2</v>
      </c>
      <c r="C17">
        <f>'toan9'!F5</f>
      </c>
      <c r="D17">
        <f>IF(ISERROR(C17),LEFT(B17&amp;"",1)="#",IF(ISNUMBER(C17),AND(ISNUMBER(B17),ABS(C17-B17)&lt;=0.000001*MAX(1,ABS(B17))),EXACT(C17&amp;"",B17&amp;"")))</f>
      </c>
      <c r="E17">
        <f>ISERROR(C17)</f>
      </c>
    </row>
    <row r="18">
      <c r="A18" t="str">
        <v>F6</v>
      </c>
      <c r="B18">
        <v>2</v>
      </c>
      <c r="C18">
        <f>'toan9'!F6</f>
      </c>
      <c r="D18">
        <f>IF(ISERROR(C18),LEFT(B18&amp;"",1)="#",IF(ISNUMBER(C18),AND(ISNUMBER(B18),ABS(C18-B18)&lt;=0.000001*MAX(1,ABS(B18))),EXACT(C18&amp;"",B18&amp;"")))</f>
      </c>
      <c r="E18">
        <f>ISERROR(C18)</f>
      </c>
    </row>
    <row r="19">
      <c r="A19" t="str">
        <v>F7</v>
      </c>
      <c r="B19">
        <v>2</v>
      </c>
      <c r="C19">
        <f>'toan9'!F7</f>
      </c>
      <c r="D19">
        <f>IF(ISERROR(C19),LEFT(B19&amp;"",1)="#",IF(ISNUMBER(C19),AND(ISNUMBER(B19),ABS(C19-B19)&lt;=0.000001*MAX(1,ABS(B19))),EXACT(C19&amp;"",B19&amp;"")))</f>
      </c>
      <c r="E19">
        <f>ISERROR(C19)</f>
      </c>
    </row>
    <row r="20">
      <c r="A20" t="str">
        <v>F8</v>
      </c>
      <c r="B20">
        <v>0</v>
      </c>
      <c r="C20">
        <f>'toan9'!F8</f>
      </c>
      <c r="D20">
        <f>IF(ISERROR(C20),LEFT(B20&amp;"",1)="#",IF(ISNUMBER(C20),AND(ISNUMBER(B20),ABS(C20-B20)&lt;=0.000001*MAX(1,ABS(B20))),EXACT(C20&amp;"",B20&amp;"")))</f>
      </c>
      <c r="E20">
        <f>ISERROR(C20)</f>
      </c>
    </row>
    <row r="21">
      <c r="A21" t="str">
        <v>F9</v>
      </c>
      <c r="B21">
        <v>0</v>
      </c>
      <c r="C21">
        <f>'toan9'!F9</f>
      </c>
      <c r="D21">
        <f>IF(ISERROR(C21),LEFT(B21&amp;"",1)="#",IF(ISNUMBER(C21),AND(ISNUMBER(B21),ABS(C21-B21)&lt;=0.000001*MAX(1,ABS(B21))),EXACT(C21&amp;"",B21&amp;"")))</f>
      </c>
      <c r="E21">
        <f>ISERROR(C21)</f>
      </c>
    </row>
    <row r="22">
      <c r="A22" t="str">
        <v>F10</v>
      </c>
      <c r="B22">
        <v>2</v>
      </c>
      <c r="C22">
        <f>'toan9'!F10</f>
      </c>
      <c r="D22">
        <f>IF(ISERROR(C22),LEFT(B22&amp;"",1)="#",IF(ISNUMBER(C22),AND(ISNUMBER(B22),ABS(C22-B22)&lt;=0.000001*MAX(1,ABS(B22))),EXACT(C22&amp;"",B22&amp;"")))</f>
      </c>
      <c r="E22">
        <f>ISERROR(C22)</f>
      </c>
    </row>
    <row r="23">
      <c r="A23" t="str">
        <v>F11</v>
      </c>
      <c r="B23">
        <v>2</v>
      </c>
      <c r="C23">
        <f>'toan9'!F11</f>
      </c>
      <c r="D23">
        <f>IF(ISERROR(C23),LEFT(B23&amp;"",1)="#",IF(ISNUMBER(C23),AND(ISNUMBER(B23),ABS(C23-B23)&lt;=0.000001*MAX(1,ABS(B23))),EXACT(C23&amp;"",B23&amp;"")))</f>
      </c>
      <c r="E23">
        <f>ISERROR(C23)</f>
      </c>
    </row>
    <row r="24">
      <c r="A24" t="str">
        <v>F12</v>
      </c>
      <c r="B24">
        <v>2</v>
      </c>
      <c r="C24">
        <f>'toan9'!F12</f>
      </c>
      <c r="D24">
        <f>IF(ISERROR(C24),LEFT(B24&amp;"",1)="#",IF(ISNUMBER(C24),AND(ISNUMBER(B24),ABS(C24-B24)&lt;=0.000001*MAX(1,ABS(B24))),EXACT(C24&amp;"",B24&amp;"")))</f>
      </c>
      <c r="E24">
        <f>ISERROR(C24)</f>
      </c>
    </row>
    <row r="25">
      <c r="A25" t="str">
        <v>F13</v>
      </c>
      <c r="B25">
        <v>2</v>
      </c>
      <c r="C25">
        <f>'toan9'!F13</f>
      </c>
      <c r="D25">
        <f>IF(ISERROR(C25),LEFT(B25&amp;"",1)="#",IF(ISNUMBER(C25),AND(ISNUMBER(B25),ABS(C25-B25)&lt;=0.000001*MAX(1,ABS(B25))),EXACT(C25&amp;"",B25&amp;"")))</f>
      </c>
      <c r="E25">
        <f>ISERROR(C25)</f>
      </c>
    </row>
    <row r="26">
      <c r="A26" t="str">
        <v>G2</v>
      </c>
      <c r="B26" t="str">
        <v>VO NGHIEM</v>
      </c>
      <c r="C26">
        <f>'toan9'!G2</f>
      </c>
      <c r="D26">
        <f>IF(ISERROR(C26),LEFT(B26&amp;"",1)="#",IF(ISNUMBER(C26),AND(ISNUMBER(B26),ABS(C26-B26)&lt;=0.000001*MAX(1,ABS(B26))),EXACT(C26&amp;"",B26&amp;"")))</f>
      </c>
      <c r="E26">
        <f>ISERROR(C26)</f>
      </c>
    </row>
    <row r="27">
      <c r="A27" t="str">
        <v>G3</v>
      </c>
      <c r="B27" t="str">
        <v>NGHIEM KEP</v>
      </c>
      <c r="C27">
        <f>'toan9'!G3</f>
      </c>
      <c r="D27">
        <f>IF(ISERROR(C27),LEFT(B27&amp;"",1)="#",IF(ISNUMBER(C27),AND(ISNUMBER(B27),ABS(C27-B27)&lt;=0.000001*MAX(1,ABS(B27))),EXACT(C27&amp;"",B27&amp;"")))</f>
      </c>
      <c r="E27">
        <f>ISERROR(C27)</f>
      </c>
    </row>
    <row r="28">
      <c r="A28" t="str">
        <v>G4</v>
      </c>
      <c r="B28" t="str">
        <v>HAI NGHIEM</v>
      </c>
      <c r="C28">
        <f>'toan9'!G4</f>
      </c>
      <c r="D28">
        <f>IF(ISERROR(C28),LEFT(B28&amp;"",1)="#",IF(ISNUMBER(C28),AND(ISNUMBER(B28),ABS(C28-B28)&lt;=0.000001*MAX(1,ABS(B28))),EXACT(C28&amp;"",B28&amp;"")))</f>
      </c>
      <c r="E28">
        <f>ISERROR(C28)</f>
      </c>
    </row>
    <row r="29">
      <c r="A29" t="str">
        <v>G5</v>
      </c>
      <c r="B29" t="str">
        <v>HAI NGHIEM</v>
      </c>
      <c r="C29">
        <f>'toan9'!G5</f>
      </c>
      <c r="D29">
        <f>IF(ISERROR(C29),LEFT(B29&amp;"",1)="#",IF(ISNUMBER(C29),AND(ISNUMBER(B29),ABS(C29-B29)&lt;=0.000001*MAX(1,ABS(B29))),EXACT(C29&amp;"",B29&amp;"")))</f>
      </c>
      <c r="E29">
        <f>ISERROR(C29)</f>
      </c>
    </row>
    <row r="30">
      <c r="A30" t="str">
        <v>G6</v>
      </c>
      <c r="B30" t="str">
        <v>HAI NGHIEM</v>
      </c>
      <c r="C30">
        <f>'toan9'!G6</f>
      </c>
      <c r="D30">
        <f>IF(ISERROR(C30),LEFT(B30&amp;"",1)="#",IF(ISNUMBER(C30),AND(ISNUMBER(B30),ABS(C30-B30)&lt;=0.000001*MAX(1,ABS(B30))),EXACT(C30&amp;"",B30&amp;"")))</f>
      </c>
      <c r="E30">
        <f>ISERROR(C30)</f>
      </c>
    </row>
    <row r="31">
      <c r="A31" t="str">
        <v>G7</v>
      </c>
      <c r="B31" t="str">
        <v>HAI NGHIEM</v>
      </c>
      <c r="C31">
        <f>'toan9'!G7</f>
      </c>
      <c r="D31">
        <f>IF(ISERROR(C31),LEFT(B31&amp;"",1)="#",IF(ISNUMBER(C31),AND(ISNUMBER(B31),ABS(C31-B31)&lt;=0.000001*MAX(1,ABS(B31))),EXACT(C31&amp;"",B31&amp;"")))</f>
      </c>
      <c r="E31">
        <f>ISERROR(C31)</f>
      </c>
    </row>
    <row r="32">
      <c r="A32" t="str">
        <v>G8</v>
      </c>
      <c r="B32" t="str">
        <v>VO NGHIEM</v>
      </c>
      <c r="C32">
        <f>'toan9'!G8</f>
      </c>
      <c r="D32">
        <f>IF(ISERROR(C32),LEFT(B32&amp;"",1)="#",IF(ISNUMBER(C32),AND(ISNUMBER(B32),ABS(C32-B32)&lt;=0.000001*MAX(1,ABS(B32))),EXACT(C32&amp;"",B32&amp;"")))</f>
      </c>
      <c r="E32">
        <f>ISERROR(C32)</f>
      </c>
    </row>
    <row r="33">
      <c r="A33" t="str">
        <v>G9</v>
      </c>
      <c r="B33" t="str">
        <v>VO NGHIEM</v>
      </c>
      <c r="C33">
        <f>'toan9'!G9</f>
      </c>
      <c r="D33">
        <f>IF(ISERROR(C33),LEFT(B33&amp;"",1)="#",IF(ISNUMBER(C33),AND(ISNUMBER(B33),ABS(C33-B33)&lt;=0.000001*MAX(1,ABS(B33))),EXACT(C33&amp;"",B33&amp;"")))</f>
      </c>
      <c r="E33">
        <f>ISERROR(C33)</f>
      </c>
    </row>
    <row r="34">
      <c r="A34" t="str">
        <v>G10</v>
      </c>
      <c r="B34" t="str">
        <v>HAI NGHIEM</v>
      </c>
      <c r="C34">
        <f>'toan9'!G10</f>
      </c>
      <c r="D34">
        <f>IF(ISERROR(C34),LEFT(B34&amp;"",1)="#",IF(ISNUMBER(C34),AND(ISNUMBER(B34),ABS(C34-B34)&lt;=0.000001*MAX(1,ABS(B34))),EXACT(C34&amp;"",B34&amp;"")))</f>
      </c>
      <c r="E34">
        <f>ISERROR(C34)</f>
      </c>
    </row>
    <row r="35">
      <c r="A35" t="str">
        <v>G11</v>
      </c>
      <c r="B35" t="str">
        <v>HAI NGHIEM</v>
      </c>
      <c r="C35">
        <f>'toan9'!G11</f>
      </c>
      <c r="D35">
        <f>IF(ISERROR(C35),LEFT(B35&amp;"",1)="#",IF(ISNUMBER(C35),AND(ISNUMBER(B35),ABS(C35-B35)&lt;=0.000001*MAX(1,ABS(B35))),EXACT(C35&amp;"",B35&amp;"")))</f>
      </c>
      <c r="E35">
        <f>ISERROR(C35)</f>
      </c>
    </row>
    <row r="36">
      <c r="A36" t="str">
        <v>G12</v>
      </c>
      <c r="B36" t="str">
        <v>HAI NGHIEM</v>
      </c>
      <c r="C36">
        <f>'toan9'!G12</f>
      </c>
      <c r="D36">
        <f>IF(ISERROR(C36),LEFT(B36&amp;"",1)="#",IF(ISNUMBER(C36),AND(ISNUMBER(B36),ABS(C36-B36)&lt;=0.000001*MAX(1,ABS(B36))),EXACT(C36&amp;"",B36&amp;"")))</f>
      </c>
      <c r="E36">
        <f>ISERROR(C36)</f>
      </c>
    </row>
    <row r="37">
      <c r="A37" t="str">
        <v>G13</v>
      </c>
      <c r="B37" t="str">
        <v>HAI NGHIEM</v>
      </c>
      <c r="C37">
        <f>'toan9'!G13</f>
      </c>
      <c r="D37">
        <f>IF(ISERROR(C37),LEFT(B37&amp;"",1)="#",IF(ISNUMBER(C37),AND(ISNUMBER(B37),ABS(C37-B37)&lt;=0.000001*MAX(1,ABS(B37))),EXACT(C37&amp;"",B37&amp;"")))</f>
      </c>
      <c r="E37">
        <f>ISERROR(C37)</f>
      </c>
    </row>
    <row r="38">
      <c r="A38" t="str">
        <v>H2</v>
      </c>
      <c r="B38">
        <v>-1</v>
      </c>
      <c r="C38">
        <f>'toan9'!H2</f>
      </c>
      <c r="D38">
        <f>IF(ISERROR(C38),LEFT(B38&amp;"",1)="#",IF(ISNUMBER(C38),AND(ISNUMBER(B38),ABS(C38-B38)&lt;=0.000001*MAX(1,ABS(B38))),EXACT(C38&amp;"",B38&amp;"")))</f>
      </c>
      <c r="E38">
        <f>ISERROR(C38)</f>
      </c>
    </row>
    <row r="39">
      <c r="A39" t="str">
        <v>H3</v>
      </c>
      <c r="B39">
        <v>4</v>
      </c>
      <c r="C39">
        <f>'toan9'!H3</f>
      </c>
      <c r="D39">
        <f>IF(ISERROR(C39),LEFT(B39&amp;"",1)="#",IF(ISNUMBER(C39),AND(ISNUMBER(B39),ABS(C39-B39)&lt;=0.000001*MAX(1,ABS(B39))),EXACT(C39&amp;"",B39&amp;"")))</f>
      </c>
      <c r="E39">
        <f>ISERROR(C39)</f>
      </c>
    </row>
    <row r="40">
      <c r="A40" t="str">
        <v>H4</v>
      </c>
      <c r="B40">
        <v>5</v>
      </c>
      <c r="C40">
        <f>'toan9'!H4</f>
      </c>
      <c r="D40">
        <f>IF(ISERROR(C40),LEFT(B40&amp;"",1)="#",IF(ISNUMBER(C40),AND(ISNUMBER(B40),ABS(C40-B40)&lt;=0.000001*MAX(1,ABS(B40))),EXACT(C40&amp;"",B40&amp;"")))</f>
      </c>
      <c r="E40">
        <f>ISERROR(C40)</f>
      </c>
    </row>
    <row r="41">
      <c r="A41" t="str">
        <v>H5</v>
      </c>
      <c r="B41">
        <v>-1</v>
      </c>
      <c r="C41">
        <f>'toan9'!H5</f>
      </c>
      <c r="D41">
        <f>IF(ISERROR(C41),LEFT(B41&amp;"",1)="#",IF(ISNUMBER(C41),AND(ISNUMBER(B41),ABS(C41-B41)&lt;=0.000001*MAX(1,ABS(B41))),EXACT(C41&amp;"",B41&amp;"")))</f>
      </c>
      <c r="E41">
        <f>ISERROR(C41)</f>
      </c>
    </row>
    <row r="42">
      <c r="A42" t="str">
        <v>H6</v>
      </c>
      <c r="B42">
        <v>6</v>
      </c>
      <c r="C42">
        <f>'toan9'!H6</f>
      </c>
      <c r="D42">
        <f>IF(ISERROR(C42),LEFT(B42&amp;"",1)="#",IF(ISNUMBER(C42),AND(ISNUMBER(B42),ABS(C42-B42)&lt;=0.000001*MAX(1,ABS(B42))),EXACT(C42&amp;"",B42&amp;"")))</f>
      </c>
      <c r="E42">
        <f>ISERROR(C42)</f>
      </c>
    </row>
    <row r="43">
      <c r="A43" t="str">
        <v>H7</v>
      </c>
      <c r="B43">
        <v>-7</v>
      </c>
      <c r="C43">
        <f>'toan9'!H7</f>
      </c>
      <c r="D43">
        <f>IF(ISERROR(C43),LEFT(B43&amp;"",1)="#",IF(ISNUMBER(C43),AND(ISNUMBER(B43),ABS(C43-B43)&lt;=0.000001*MAX(1,ABS(B43))),EXACT(C43&amp;"",B43&amp;"")))</f>
      </c>
      <c r="E43">
        <f>ISERROR(C43)</f>
      </c>
    </row>
    <row r="44">
      <c r="A44" t="str">
        <v>H8</v>
      </c>
      <c r="B44">
        <v>3</v>
      </c>
      <c r="C44">
        <f>'toan9'!H8</f>
      </c>
      <c r="D44">
        <f>IF(ISERROR(C44),LEFT(B44&amp;"",1)="#",IF(ISNUMBER(C44),AND(ISNUMBER(B44),ABS(C44-B44)&lt;=0.000001*MAX(1,ABS(B44))),EXACT(C44&amp;"",B44&amp;"")))</f>
      </c>
      <c r="E44">
        <f>ISERROR(C44)</f>
      </c>
    </row>
    <row r="45">
      <c r="A45" t="str">
        <v>H9</v>
      </c>
      <c r="B45">
        <v>-3</v>
      </c>
      <c r="C45">
        <f>'toan9'!H9</f>
      </c>
      <c r="D45">
        <f>IF(ISERROR(C45),LEFT(B45&amp;"",1)="#",IF(ISNUMBER(C45),AND(ISNUMBER(B45),ABS(C45-B45)&lt;=0.000001*MAX(1,ABS(B45))),EXACT(C45&amp;"",B45&amp;"")))</f>
      </c>
      <c r="E45">
        <f>ISERROR(C45)</f>
      </c>
    </row>
    <row r="46">
      <c r="A46" t="str">
        <v>H10</v>
      </c>
      <c r="B46">
        <v>-2.5</v>
      </c>
      <c r="C46">
        <f>'toan9'!H10</f>
      </c>
      <c r="D46">
        <f>IF(ISERROR(C46),LEFT(B46&amp;"",1)="#",IF(ISNUMBER(C46),AND(ISNUMBER(B46),ABS(C46-B46)&lt;=0.000001*MAX(1,ABS(B46))),EXACT(C46&amp;"",B46&amp;"")))</f>
      </c>
      <c r="E46">
        <f>ISERROR(C46)</f>
      </c>
    </row>
    <row r="47">
      <c r="A47" t="str">
        <v>H11</v>
      </c>
      <c r="B47">
        <v>-2.5</v>
      </c>
      <c r="C47">
        <f>'toan9'!H11</f>
      </c>
      <c r="D47">
        <f>IF(ISERROR(C47),LEFT(B47&amp;"",1)="#",IF(ISNUMBER(C47),AND(ISNUMBER(B47),ABS(C47-B47)&lt;=0.000001*MAX(1,ABS(B47))),EXACT(C47&amp;"",B47&amp;"")))</f>
      </c>
      <c r="E47">
        <f>ISERROR(C47)</f>
      </c>
    </row>
    <row r="48">
      <c r="A48" t="str">
        <v>H12</v>
      </c>
      <c r="B48">
        <v>-2.5</v>
      </c>
      <c r="C48">
        <f>'toan9'!H12</f>
      </c>
      <c r="D48">
        <f>IF(ISERROR(C48),LEFT(B48&amp;"",1)="#",IF(ISNUMBER(C48),AND(ISNUMBER(B48),ABS(C48-B48)&lt;=0.000001*MAX(1,ABS(B48))),EXACT(C48&amp;"",B48&amp;"")))</f>
      </c>
      <c r="E48">
        <f>ISERROR(C48)</f>
      </c>
    </row>
    <row r="49">
      <c r="A49" t="str">
        <v>H13</v>
      </c>
      <c r="B49">
        <v>-0.5</v>
      </c>
      <c r="C49">
        <f>'toan9'!H13</f>
      </c>
      <c r="D49">
        <f>IF(ISERROR(C49),LEFT(B49&amp;"",1)="#",IF(ISNUMBER(C49),AND(ISNUMBER(B49),ABS(C49-B49)&lt;=0.000001*MAX(1,ABS(B49))),EXACT(C49&amp;"",B49&amp;"")))</f>
      </c>
      <c r="E49">
        <f>ISERROR(C49)</f>
      </c>
    </row>
    <row r="50">
      <c r="A50" t="str">
        <v>I2</v>
      </c>
      <c r="B50">
        <v>5</v>
      </c>
      <c r="C50">
        <f>'toan9'!I2</f>
      </c>
      <c r="D50">
        <f>IF(ISERROR(C50),LEFT(B50&amp;"",1)="#",IF(ISNUMBER(C50),AND(ISNUMBER(B50),ABS(C50-B50)&lt;=0.000001*MAX(1,ABS(B50))),EXACT(C50&amp;"",B50&amp;"")))</f>
      </c>
      <c r="E50">
        <f>ISERROR(C50)</f>
      </c>
    </row>
    <row r="51">
      <c r="A51" t="str">
        <v>I3</v>
      </c>
      <c r="B51">
        <v>4</v>
      </c>
      <c r="C51">
        <f>'toan9'!I3</f>
      </c>
      <c r="D51">
        <f>IF(ISERROR(C51),LEFT(B51&amp;"",1)="#",IF(ISNUMBER(C51),AND(ISNUMBER(B51),ABS(C51-B51)&lt;=0.000001*MAX(1,ABS(B51))),EXACT(C51&amp;"",B51&amp;"")))</f>
      </c>
      <c r="E51">
        <f>ISERROR(C51)</f>
      </c>
    </row>
    <row r="52">
      <c r="A52" t="str">
        <v>I4</v>
      </c>
      <c r="B52">
        <v>6</v>
      </c>
      <c r="C52">
        <f>'toan9'!I4</f>
      </c>
      <c r="D52">
        <f>IF(ISERROR(C52),LEFT(B52&amp;"",1)="#",IF(ISNUMBER(C52),AND(ISNUMBER(B52),ABS(C52-B52)&lt;=0.000001*MAX(1,ABS(B52))),EXACT(C52&amp;"",B52&amp;"")))</f>
      </c>
      <c r="E52">
        <f>ISERROR(C52)</f>
      </c>
    </row>
    <row r="53">
      <c r="A53" t="str">
        <v>I5</v>
      </c>
      <c r="B53">
        <v>0</v>
      </c>
      <c r="C53">
        <f>'toan9'!I5</f>
      </c>
      <c r="D53">
        <f>IF(ISERROR(C53),LEFT(B53&amp;"",1)="#",IF(ISNUMBER(C53),AND(ISNUMBER(B53),ABS(C53-B53)&lt;=0.000001*MAX(1,ABS(B53))),EXACT(C53&amp;"",B53&amp;"")))</f>
      </c>
      <c r="E53">
        <f>ISERROR(C53)</f>
      </c>
    </row>
    <row r="54">
      <c r="A54" t="str">
        <v>I6</v>
      </c>
      <c r="B54">
        <v>7</v>
      </c>
      <c r="C54">
        <f>'toan9'!I6</f>
      </c>
      <c r="D54">
        <f>IF(ISERROR(C54),LEFT(B54&amp;"",1)="#",IF(ISNUMBER(C54),AND(ISNUMBER(B54),ABS(C54-B54)&lt;=0.000001*MAX(1,ABS(B54))),EXACT(C54&amp;"",B54&amp;"")))</f>
      </c>
      <c r="E54">
        <f>ISERROR(C54)</f>
      </c>
    </row>
    <row r="55">
      <c r="A55" t="str">
        <v>I7</v>
      </c>
      <c r="B55">
        <v>-4</v>
      </c>
      <c r="C55">
        <f>'toan9'!I7</f>
      </c>
      <c r="D55">
        <f>IF(ISERROR(C55),LEFT(B55&amp;"",1)="#",IF(ISNUMBER(C55),AND(ISNUMBER(B55),ABS(C55-B55)&lt;=0.000001*MAX(1,ABS(B55))),EXACT(C55&amp;"",B55&amp;"")))</f>
      </c>
      <c r="E55">
        <f>ISERROR(C55)</f>
      </c>
    </row>
    <row r="56">
      <c r="A56" t="str">
        <v>I8</v>
      </c>
      <c r="B56">
        <v>4</v>
      </c>
      <c r="C56">
        <f>'toan9'!I8</f>
      </c>
      <c r="D56">
        <f>IF(ISERROR(C56),LEFT(B56&amp;"",1)="#",IF(ISNUMBER(C56),AND(ISNUMBER(B56),ABS(C56-B56)&lt;=0.000001*MAX(1,ABS(B56))),EXACT(C56&amp;"",B56&amp;"")))</f>
      </c>
      <c r="E56">
        <f>ISERROR(C56)</f>
      </c>
    </row>
    <row r="57">
      <c r="A57" t="str">
        <v>I9</v>
      </c>
      <c r="B57">
        <v>2.5</v>
      </c>
      <c r="C57">
        <f>'toan9'!I9</f>
      </c>
      <c r="D57">
        <f>IF(ISERROR(C57),LEFT(B57&amp;"",1)="#",IF(ISNUMBER(C57),AND(ISNUMBER(B57),ABS(C57-B57)&lt;=0.000001*MAX(1,ABS(B57))),EXACT(C57&amp;"",B57&amp;"")))</f>
      </c>
      <c r="E57">
        <f>ISERROR(C57)</f>
      </c>
    </row>
    <row r="58">
      <c r="A58" t="str">
        <v>I10</v>
      </c>
      <c r="B58">
        <v>-3</v>
      </c>
      <c r="C58">
        <f>'toan9'!I10</f>
      </c>
      <c r="D58">
        <f>IF(ISERROR(C58),LEFT(B58&amp;"",1)="#",IF(ISNUMBER(C58),AND(ISNUMBER(B58),ABS(C58-B58)&lt;=0.000001*MAX(1,ABS(B58))),EXACT(C58&amp;"",B58&amp;"")))</f>
      </c>
      <c r="E58">
        <f>ISERROR(C58)</f>
      </c>
    </row>
    <row r="59">
      <c r="A59" t="str">
        <v>I11</v>
      </c>
      <c r="B59">
        <v>-4</v>
      </c>
      <c r="C59">
        <f>'toan9'!I11</f>
      </c>
      <c r="D59">
        <f>IF(ISERROR(C59),LEFT(B59&amp;"",1)="#",IF(ISNUMBER(C59),AND(ISNUMBER(B59),ABS(C59-B59)&lt;=0.000001*MAX(1,ABS(B59))),EXACT(C59&amp;"",B59&amp;"")))</f>
      </c>
      <c r="E59">
        <f>ISERROR(C59)</f>
      </c>
    </row>
    <row r="60">
      <c r="A60" t="str">
        <v>I12</v>
      </c>
      <c r="B60">
        <v>0</v>
      </c>
      <c r="C60">
        <f>'toan9'!I12</f>
      </c>
      <c r="D60">
        <f>IF(ISERROR(C60),LEFT(B60&amp;"",1)="#",IF(ISNUMBER(C60),AND(ISNUMBER(B60),ABS(C60-B60)&lt;=0.000001*MAX(1,ABS(B60))),EXACT(C60&amp;"",B60&amp;"")))</f>
      </c>
      <c r="E60">
        <f>ISERROR(C60)</f>
      </c>
    </row>
    <row r="61">
      <c r="A61" t="str">
        <v>I13</v>
      </c>
      <c r="B61">
        <v>-3.5</v>
      </c>
      <c r="C61">
        <f>'toan9'!I13</f>
      </c>
      <c r="D61">
        <f>IF(ISERROR(C61),LEFT(B61&amp;"",1)="#",IF(ISNUMBER(C61),AND(ISNUMBER(B61),ABS(C61-B61)&lt;=0.000001*MAX(1,ABS(B61))),EXACT(C61&amp;"",B61&amp;"")))</f>
      </c>
      <c r="E61">
        <f>ISERROR(C61)</f>
      </c>
    </row>
    <row r="62">
      <c r="A62" t="str">
        <v>J2</v>
      </c>
      <c r="B62">
        <v>0</v>
      </c>
      <c r="C62">
        <f>'toan9'!J2</f>
      </c>
      <c r="D62">
        <f>IF(ISERROR(C62),LEFT(B62&amp;"",1)="#",IF(ISNUMBER(C62),AND(ISNUMBER(B62),ABS(C62-B62)&lt;=0.000001*MAX(1,ABS(B62))),EXACT(C62&amp;"",B62&amp;"")))</f>
      </c>
      <c r="E62">
        <f>ISERROR(C62)</f>
      </c>
    </row>
    <row r="63">
      <c r="A63" t="str">
        <v>J3</v>
      </c>
      <c r="B63">
        <v>2</v>
      </c>
      <c r="C63">
        <f>'toan9'!J3</f>
      </c>
      <c r="D63">
        <f>IF(ISERROR(C63),LEFT(B63&amp;"",1)="#",IF(ISNUMBER(C63),AND(ISNUMBER(B63),ABS(C63-B63)&lt;=0.000001*MAX(1,ABS(B63))),EXACT(C63&amp;"",B63&amp;"")))</f>
      </c>
      <c r="E63">
        <f>ISERROR(C63)</f>
      </c>
    </row>
    <row r="64">
      <c r="A64" t="str">
        <v>J4</v>
      </c>
      <c r="B64">
        <v>3</v>
      </c>
      <c r="C64">
        <f>'toan9'!J4</f>
      </c>
      <c r="D64">
        <f>IF(ISERROR(C64),LEFT(B64&amp;"",1)="#",IF(ISNUMBER(C64),AND(ISNUMBER(B64),ABS(C64-B64)&lt;=0.000001*MAX(1,ABS(B64))),EXACT(C64&amp;"",B64&amp;"")))</f>
      </c>
      <c r="E64">
        <f>ISERROR(C64)</f>
      </c>
    </row>
    <row r="65">
      <c r="A65" t="str">
        <v>J5</v>
      </c>
      <c r="B65">
        <v>-1</v>
      </c>
      <c r="C65">
        <f>'toan9'!J5</f>
      </c>
      <c r="D65">
        <f>IF(ISERROR(C65),LEFT(B65&amp;"",1)="#",IF(ISNUMBER(C65),AND(ISNUMBER(B65),ABS(C65-B65)&lt;=0.000001*MAX(1,ABS(B65))),EXACT(C65&amp;"",B65&amp;"")))</f>
      </c>
      <c r="E65">
        <f>ISERROR(C65)</f>
      </c>
    </row>
    <row r="66">
      <c r="A66" t="str">
        <v>J6</v>
      </c>
      <c r="B66">
        <v>4.41</v>
      </c>
      <c r="C66">
        <f>'toan9'!J6</f>
      </c>
      <c r="D66">
        <f>IF(ISERROR(C66),LEFT(B66&amp;"",1)="#",IF(ISNUMBER(C66),AND(ISNUMBER(B66),ABS(C66-B66)&lt;=0.000001*MAX(1,ABS(B66))),EXACT(C66&amp;"",B66&amp;"")))</f>
      </c>
      <c r="E66">
        <f>ISERROR(C66)</f>
      </c>
    </row>
    <row r="67">
      <c r="A67" t="str">
        <v>J7</v>
      </c>
      <c r="B67">
        <v>0.53</v>
      </c>
      <c r="C67">
        <f>'toan9'!J7</f>
      </c>
      <c r="D67">
        <f>IF(ISERROR(C67),LEFT(B67&amp;"",1)="#",IF(ISNUMBER(C67),AND(ISNUMBER(B67),ABS(C67-B67)&lt;=0.000001*MAX(1,ABS(B67))),EXACT(C67&amp;"",B67&amp;"")))</f>
      </c>
      <c r="E67">
        <f>ISERROR(C67)</f>
      </c>
    </row>
    <row r="68">
      <c r="A68" t="str">
        <v>J8</v>
      </c>
      <c r="B68">
        <v>0</v>
      </c>
      <c r="C68">
        <f>'toan9'!J8</f>
      </c>
      <c r="D68">
        <f>IF(ISERROR(C68),LEFT(B68&amp;"",1)="#",IF(ISNUMBER(C68),AND(ISNUMBER(B68),ABS(C68-B68)&lt;=0.000001*MAX(1,ABS(B68))),EXACT(C68&amp;"",B68&amp;"")))</f>
      </c>
      <c r="E68">
        <f>ISERROR(C68)</f>
      </c>
    </row>
    <row r="69">
      <c r="A69" t="str">
        <v>J9</v>
      </c>
      <c r="B69">
        <v>0</v>
      </c>
      <c r="C69">
        <f>'toan9'!J9</f>
      </c>
      <c r="D69">
        <f>IF(ISERROR(C69),LEFT(B69&amp;"",1)="#",IF(ISNUMBER(C69),AND(ISNUMBER(B69),ABS(C69-B69)&lt;=0.000001*MAX(1,ABS(B69))),EXACT(C69&amp;"",B69&amp;"")))</f>
      </c>
      <c r="E69">
        <f>ISERROR(C69)</f>
      </c>
    </row>
    <row r="70">
      <c r="A70" t="str">
        <v>J10</v>
      </c>
      <c r="B70">
        <v>-3.39</v>
      </c>
      <c r="C70">
        <f>'toan9'!J10</f>
      </c>
      <c r="D70">
        <f>IF(ISERROR(C70),LEFT(B70&amp;"",1)="#",IF(ISNUMBER(C70),AND(ISNUMBER(B70),ABS(C70-B70)&lt;=0.000001*MAX(1,ABS(B70))),EXACT(C70&amp;"",B70&amp;"")))</f>
      </c>
      <c r="E70">
        <f>ISERROR(C70)</f>
      </c>
    </row>
    <row r="71">
      <c r="A71" t="str">
        <v>J11</v>
      </c>
      <c r="B71">
        <v>-3.61</v>
      </c>
      <c r="C71">
        <f>'toan9'!J11</f>
      </c>
      <c r="D71">
        <f>IF(ISERROR(C71),LEFT(B71&amp;"",1)="#",IF(ISNUMBER(C71),AND(ISNUMBER(B71),ABS(C71-B71)&lt;=0.000001*MAX(1,ABS(B71))),EXACT(C71&amp;"",B71&amp;"")))</f>
      </c>
      <c r="E71">
        <f>ISERROR(C71)</f>
      </c>
    </row>
    <row r="72">
      <c r="A72" t="str">
        <v>J12</v>
      </c>
      <c r="B72">
        <v>-2.5</v>
      </c>
      <c r="C72">
        <f>'toan9'!J12</f>
      </c>
      <c r="D72">
        <f>IF(ISERROR(C72),LEFT(B72&amp;"",1)="#",IF(ISNUMBER(C72),AND(ISNUMBER(B72),ABS(C72-B72)&lt;=0.000001*MAX(1,ABS(B72))),EXACT(C72&amp;"",B72&amp;"")))</f>
      </c>
      <c r="E72">
        <f>ISERROR(C72)</f>
      </c>
    </row>
    <row r="73">
      <c r="A73" t="str">
        <v>J13</v>
      </c>
      <c r="B73">
        <v>1.64</v>
      </c>
      <c r="C73">
        <f>'toan9'!J13</f>
      </c>
      <c r="D73">
        <f>IF(ISERROR(C73),LEFT(B73&amp;"",1)="#",IF(ISNUMBER(C73),AND(ISNUMBER(B73),ABS(C73-B73)&lt;=0.000001*MAX(1,ABS(B73))),EXACT(C73&amp;"",B73&amp;"")))</f>
      </c>
      <c r="E73">
        <f>ISERROR(C73)</f>
      </c>
    </row>
    <row r="74">
      <c r="A74" t="str">
        <v>Z2</v>
      </c>
      <c r="B74" t="str">
        <v>PT10</v>
      </c>
      <c r="C74">
        <f>'toan9'!Z2</f>
      </c>
      <c r="D74">
        <f>IF(ISERROR(C74),LEFT(B74&amp;"",1)="#",IF(ISNUMBER(C74),AND(ISNUMBER(B74),ABS(C74-B74)&lt;=0.000001*MAX(1,ABS(B74))),EXACT(C74&amp;"",B74&amp;"")))</f>
      </c>
      <c r="E74">
        <f>ISERROR(C74)</f>
      </c>
    </row>
    <row r="75">
      <c r="A75" t="str">
        <v>Z3</v>
      </c>
      <c r="B75">
        <v>319</v>
      </c>
      <c r="C75">
        <f>'toan9'!Z3</f>
      </c>
      <c r="D75">
        <f>IF(ISERROR(C75),LEFT(B75&amp;"",1)="#",IF(ISNUMBER(C75),AND(ISNUMBER(B75),ABS(C75-B75)&lt;=0.000001*MAX(1,ABS(B75))),EXACT(C75&amp;"",B75&amp;"")))</f>
      </c>
      <c r="E75">
        <f>ISERROR(C75)</f>
      </c>
    </row>
    <row r="76">
      <c r="A76" t="str">
        <v>Z4</v>
      </c>
      <c r="B76">
        <v>2</v>
      </c>
      <c r="C76">
        <f>'toan9'!Z4</f>
      </c>
      <c r="D76">
        <f>IF(ISERROR(C76),LEFT(B76&amp;"",1)="#",IF(ISNUMBER(C76),AND(ISNUMBER(B76),ABS(C76-B76)&lt;=0.000001*MAX(1,ABS(B76))),EXACT(C76&amp;"",B76&amp;"")))</f>
      </c>
      <c r="E76">
        <f>ISERROR(C76)</f>
      </c>
    </row>
    <row r="77">
      <c r="A77" t="str">
        <v>Z5</v>
      </c>
      <c r="B77">
        <v>-0.625</v>
      </c>
      <c r="C77">
        <f>'toan9'!Z5</f>
      </c>
      <c r="D77">
        <f>IF(ISERROR(C77),LEFT(B77&amp;"",1)="#",IF(ISNUMBER(C77),AND(ISNUMBER(B77),ABS(C77-B77)&lt;=0.000001*MAX(1,ABS(B77))),EXACT(C77&amp;"",B77&amp;"")))</f>
      </c>
      <c r="E77">
        <f>ISERROR(C77)</f>
      </c>
    </row>
    <row r="78">
      <c r="A78" t="str">
        <v>Z6</v>
      </c>
      <c r="B78">
        <v>4.41</v>
      </c>
      <c r="C78">
        <f>'toan9'!Z6</f>
      </c>
      <c r="D78">
        <f>IF(ISERROR(C78),LEFT(B78&amp;"",1)="#",IF(ISNUMBER(C78),AND(ISNUMBER(B78),ABS(C78-B78)&lt;=0.000001*MAX(1,ABS(B78))),EXACT(C78&amp;"",B78&amp;"")))</f>
      </c>
      <c r="E78">
        <f>ISERROR(C78)</f>
      </c>
    </row>
    <row r="79">
      <c r="A79" t="str">
        <v>Z7</v>
      </c>
      <c r="B79">
        <v>4.5</v>
      </c>
      <c r="C79">
        <f>'toan9'!Z7</f>
      </c>
      <c r="D79">
        <f>IF(ISERROR(C79),LEFT(B79&amp;"",1)="#",IF(ISNUMBER(C79),AND(ISNUMBER(B79),ABS(C79-B79)&lt;=0.000001*MAX(1,ABS(B79))),EXACT(C79&amp;"",B79&amp;"")))</f>
      </c>
      <c r="E79">
        <f>ISERROR(C79)</f>
      </c>
    </row>
    <row r="80">
      <c r="A80" t="str">
        <v>Z8</v>
      </c>
      <c r="B80">
        <v>73</v>
      </c>
      <c r="C80">
        <f>'toan9'!Z8</f>
      </c>
      <c r="D80">
        <f>IF(ISERROR(C80),LEFT(B80&amp;"",1)="#",IF(ISNUMBER(C80),AND(ISNUMBER(B80),ABS(C80-B80)&lt;=0.000001*MAX(1,ABS(B80))),EXACT(C80&amp;"",B80&amp;"")))</f>
      </c>
      <c r="E80">
        <f>ISERROR(C80)</f>
      </c>
    </row>
    <row r="81">
      <c r="A81" t="str">
        <v>Z9</v>
      </c>
      <c r="B81">
        <v>4.1</v>
      </c>
      <c r="C81">
        <f>'toan9'!Z9</f>
      </c>
      <c r="D81">
        <f>IF(ISERROR(C81),LEFT(B81&amp;"",1)="#",IF(ISNUMBER(C81),AND(ISNUMBER(B81),ABS(C81-B81)&lt;=0.000001*MAX(1,ABS(B81))),EXACT(C81&amp;"",B81&amp;"")))</f>
      </c>
      <c r="E81">
        <f>ISERROR(C81)</f>
      </c>
    </row>
    <row r="82">
      <c r="A82" t="str">
        <v>Z10</v>
      </c>
      <c r="B82">
        <v>319</v>
      </c>
      <c r="C82">
        <f>'toan9'!Z10</f>
      </c>
      <c r="D82">
        <f>IF(ISERROR(C82),LEFT(B82&amp;"",1)="#",IF(ISNUMBER(C82),AND(ISNUMBER(B82),ABS(C82-B82)&lt;=0.000001*MAX(1,ABS(B82))),EXACT(C82&amp;"",B82&amp;"")))</f>
      </c>
      <c r="E82">
        <f>ISERROR(C82)</f>
      </c>
    </row>
    <row r="83">
      <c r="A83" t="str">
        <v>Z11</v>
      </c>
      <c r="B83">
        <v>8</v>
      </c>
      <c r="C83">
        <f>'toan9'!Z11</f>
      </c>
      <c r="D83">
        <f>IF(ISERROR(C83),LEFT(B83&amp;"",1)="#",IF(ISNUMBER(C83),AND(ISNUMBER(B83),ABS(C83-B83)&lt;=0.000001*MAX(1,ABS(B83))),EXACT(C83&amp;"",B83&amp;"")))</f>
      </c>
      <c r="E83">
        <f>ISERROR(C83)</f>
      </c>
    </row>
    <row r="84">
      <c r="A84" t="str">
        <v>Z12</v>
      </c>
      <c r="B84">
        <v>319</v>
      </c>
      <c r="C84">
        <f>'toan9'!Z12</f>
      </c>
      <c r="D84">
        <f>IF(ISERROR(C84),LEFT(B84&amp;"",1)="#",IF(ISNUMBER(C84),AND(ISNUMBER(B84),ABS(C84-B84)&lt;=0.000001*MAX(1,ABS(B84))),EXACT(C84&amp;"",B84&amp;"")))</f>
      </c>
      <c r="E84">
        <f>ISERROR(C84)</f>
      </c>
    </row>
    <row r="85">
      <c r="A85" t="str">
        <v>Z13</v>
      </c>
      <c r="B85">
        <v>-10</v>
      </c>
      <c r="C85">
        <f>'toan9'!Z13</f>
      </c>
      <c r="D85">
        <f>IF(ISERROR(C85),LEFT(B85&amp;"",1)="#",IF(ISNUMBER(C85),AND(ISNUMBER(B85),ABS(C85-B85)&lt;=0.000001*MAX(1,ABS(B85))),EXACT(C85&amp;"",B85&amp;"")))</f>
      </c>
      <c r="E85">
        <f>ISERROR(C85)</f>
      </c>
    </row>
  </sheetData>
  <ignoredErrors>
    <ignoredError numberStoredAsText="1" sqref="A1:E85"/>
  </ignoredErrors>
</worksheet>
</file>

<file path=xl/worksheets/sheet22.xml><?xml version="1.0" encoding="utf-8"?>
<worksheet xmlns="http://schemas.openxmlformats.org/spreadsheetml/2006/main" xmlns:r="http://schemas.openxmlformats.org/officeDocument/2006/relationships">
  <dimension ref="A1:Z14"/>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MaHS</v>
      </c>
      <c r="B1" t="str">
        <v>Lop</v>
      </c>
      <c r="C1" t="str">
        <v>Diem</v>
      </c>
      <c r="D1" t="str">
        <v>PhanLoai</v>
      </c>
      <c r="W1" t="str">
        <v>PhanLoai</v>
      </c>
      <c r="Y1" t="str">
        <v>TongHop</v>
      </c>
      <c r="Z1" t="str">
        <v>KetQua</v>
      </c>
    </row>
    <row r="2">
      <c r="A2" t="str">
        <v>HS01</v>
      </c>
      <c r="B2" t="str">
        <v>9A</v>
      </c>
      <c r="C2">
        <v>9</v>
      </c>
      <c r="D2" t="str">
        <f>IF(C2&gt;=8,"GIOI",IF(C2&gt;=6.5,"KHA",IF(C2&gt;=5,"TB","YEU")))</f>
        <v>GIOI</v>
      </c>
      <c r="W2" t="str">
        <v>KHA</v>
      </c>
      <c r="Y2" t="str">
        <v>Tan so cua diem 5</v>
      </c>
      <c r="Z2">
        <f>COUNTIF(C2:C13,5)</f>
        <v>0</v>
      </c>
    </row>
    <row r="3">
      <c r="A3" t="str">
        <v>HS02</v>
      </c>
      <c r="B3" t="str">
        <v>9B</v>
      </c>
      <c r="C3">
        <v>9</v>
      </c>
      <c r="D3" t="str">
        <f>IF(C3&gt;=8,"GIOI",IF(C3&gt;=6.5,"KHA",IF(C3&gt;=5,"TB","YEU")))</f>
        <v>GIOI</v>
      </c>
      <c r="Y3" t="str">
        <v>Tan so cua diem 7</v>
      </c>
      <c r="Z3">
        <f>COUNTIF(C2:C13,7)</f>
        <v>3</v>
      </c>
    </row>
    <row r="4">
      <c r="A4" t="str">
        <v>HS03</v>
      </c>
      <c r="B4" t="str">
        <v>9C</v>
      </c>
      <c r="C4">
        <v>7</v>
      </c>
      <c r="D4" t="str">
        <f>IF(C4&gt;=8,"GIOI",IF(C4&gt;=6.5,"KHA",IF(C4&gt;=5,"TB","YEU")))</f>
        <v>KHA</v>
      </c>
      <c r="Y4" t="str">
        <v>Tan so cua diem 9</v>
      </c>
      <c r="Z4">
        <f>COUNTIF(C2:C13,9)</f>
        <v>2</v>
      </c>
    </row>
    <row r="5">
      <c r="A5" t="str">
        <v>HS04</v>
      </c>
      <c r="B5" t="str">
        <v>9A</v>
      </c>
      <c r="C5">
        <v>7</v>
      </c>
      <c r="D5" t="str">
        <f>IF(C5&gt;=8,"GIOI",IF(C5&gt;=6.5,"KHA",IF(C5&gt;=5,"TB","YEU")))</f>
        <v>KHA</v>
      </c>
      <c r="Y5" t="str">
        <v>Tan so tuong doi cua diem 7</v>
      </c>
      <c r="Z5">
        <f>ROUND(COUNTIF(C2:C13,7)/COUNT(C2:C13),4)</f>
        <v>0.25</v>
      </c>
    </row>
    <row r="6">
      <c r="A6" t="str">
        <v>HS05</v>
      </c>
      <c r="B6" t="str">
        <v>9B</v>
      </c>
      <c r="C6">
        <v>7</v>
      </c>
      <c r="D6" t="str">
        <f>IF(C6&gt;=8,"GIOI",IF(C6&gt;=6.5,"KHA",IF(C6&gt;=5,"TB","YEU")))</f>
        <v>KHA</v>
      </c>
      <c r="Y6" t="str">
        <v>Tan so tuong doi cua diem tu 8</v>
      </c>
      <c r="Z6">
        <f>ROUND(COUNTIF(C2:C13,"&gt;=8")/COUNT(C2:C13),4)</f>
        <v>0.3333</v>
      </c>
    </row>
    <row r="7">
      <c r="A7" t="str">
        <v>HS06</v>
      </c>
      <c r="B7" t="str">
        <v>9C</v>
      </c>
      <c r="C7">
        <v>8</v>
      </c>
      <c r="D7" t="str">
        <f>IF(C7&gt;=8,"GIOI",IF(C7&gt;=6.5,"KHA",IF(C7&gt;=5,"TB","YEU")))</f>
        <v>GIOI</v>
      </c>
      <c r="Y7" t="str">
        <v>Mot cua mau so lieu</v>
      </c>
      <c r="Z7">
        <f>MODE(C2:C13)</f>
        <v>7</v>
      </c>
    </row>
    <row r="8">
      <c r="A8" t="str">
        <v>HS07</v>
      </c>
      <c r="B8" t="str">
        <v>9A</v>
      </c>
      <c r="C8">
        <v>6</v>
      </c>
      <c r="D8" t="str">
        <f>IF(C8&gt;=8,"GIOI",IF(C8&gt;=6.5,"KHA",IF(C8&gt;=5,"TB","YEU")))</f>
        <v>TB</v>
      </c>
      <c r="Y8" t="str">
        <v>Diem trung binh</v>
      </c>
      <c r="Z8">
        <f>ROUND(AVERAGE(C2:C13),2)</f>
        <v>6.75</v>
      </c>
    </row>
    <row r="9">
      <c r="A9" t="str">
        <v>HS08</v>
      </c>
      <c r="B9" t="str">
        <v>9B</v>
      </c>
      <c r="C9">
        <v>6</v>
      </c>
      <c r="D9" t="str">
        <f>IF(C9&gt;=8,"GIOI",IF(C9&gt;=6.5,"KHA",IF(C9&gt;=5,"TB","YEU")))</f>
        <v>TB</v>
      </c>
      <c r="Y9" t="str">
        <v>Diem cao nhat</v>
      </c>
      <c r="Z9">
        <f>MAX(C2:C13)</f>
        <v>10</v>
      </c>
    </row>
    <row r="10">
      <c r="A10" t="str">
        <v>HS09</v>
      </c>
      <c r="B10" t="str">
        <v>9C</v>
      </c>
      <c r="C10">
        <v>4</v>
      </c>
      <c r="D10" t="str">
        <f>IF(C10&gt;=8,"GIOI",IF(C10&gt;=6.5,"KHA",IF(C10&gt;=5,"TB","YEU")))</f>
        <v>YEU</v>
      </c>
      <c r="Y10" t="str">
        <v>Diem thap nhat</v>
      </c>
      <c r="Z10">
        <f>MIN(C2:C13)</f>
        <v>4</v>
      </c>
    </row>
    <row r="11">
      <c r="A11" t="str">
        <v>HS10</v>
      </c>
      <c r="B11" t="str">
        <v>9A</v>
      </c>
      <c r="C11">
        <v>4</v>
      </c>
      <c r="D11" t="str">
        <f>IF(C11&gt;=8,"GIOI",IF(C11&gt;=6.5,"KHA",IF(C11&gt;=5,"TB","YEU")))</f>
        <v>YEU</v>
      </c>
      <c r="Y11" t="str">
        <v>So dong Lop = 9B, Diem &gt;=8</v>
      </c>
      <c r="Z11">
        <f>COUNTIFS(B2:B13,"9B",C2:C13,"&gt;=8")</f>
        <v>2</v>
      </c>
    </row>
    <row r="12">
      <c r="A12" t="str">
        <v>HS11</v>
      </c>
      <c r="B12" t="str">
        <v>9B</v>
      </c>
      <c r="C12">
        <v>10</v>
      </c>
      <c r="D12" t="str">
        <f>IF(C12&gt;=8,"GIOI",IF(C12&gt;=6.5,"KHA",IF(C12&gt;=5,"TB","YEU")))</f>
        <v>GIOI</v>
      </c>
      <c r="Y12" t="str">
        <v>Diem trung binh khi Lop = 9C</v>
      </c>
      <c r="Z12">
        <f>AVERAGEIF(B2:B13,"9C",C2:C13)</f>
        <v>5.75</v>
      </c>
    </row>
    <row r="13">
      <c r="A13" t="str">
        <v>HS12</v>
      </c>
      <c r="B13" t="str">
        <v>9C</v>
      </c>
      <c r="C13">
        <v>4</v>
      </c>
      <c r="D13" t="str">
        <f>IF(C13&gt;=8,"GIOI",IF(C13&gt;=6.5,"KHA",IF(C13&gt;=5,"TB","YEU")))</f>
        <v>YEU</v>
      </c>
      <c r="Y13" t="str">
        <v>So dong theo tieu chi W1:W2</v>
      </c>
      <c r="Z13">
        <f>DCOUNT(A1:D13,"Diem",W1:W2)</f>
        <v>3</v>
      </c>
    </row>
    <row r="14">
      <c r="Y14" t="str">
        <v>Tong Diem theo tieu chi W1:W2</v>
      </c>
      <c r="Z14">
        <f>DSUM(A1:D13,"Diem",W1:W2)</f>
        <v>21</v>
      </c>
    </row>
  </sheetData>
  <ignoredErrors>
    <ignoredError numberStoredAsText="1" sqref="A1:Z14"/>
  </ignoredErrors>
</worksheet>
</file>

<file path=xl/worksheets/sheet23.xml><?xml version="1.0" encoding="utf-8"?>
<worksheet xmlns="http://schemas.openxmlformats.org/spreadsheetml/2006/main" xmlns:r="http://schemas.openxmlformats.org/officeDocument/2006/relationships">
  <dimension ref="A1:E26"/>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t="str">
        <v>GIOI</v>
      </c>
      <c r="C2">
        <f>'toan9tk'!D2</f>
      </c>
      <c r="D2">
        <f>IF(ISERROR(C2),LEFT(B2&amp;"",1)="#",IF(ISNUMBER(C2),AND(ISNUMBER(B2),ABS(C2-B2)&lt;=0.000001*MAX(1,ABS(B2))),EXACT(C2&amp;"",B2&amp;"")))</f>
      </c>
      <c r="E2">
        <f>ISERROR(C2)</f>
      </c>
    </row>
    <row r="3">
      <c r="A3" t="str">
        <v>D3</v>
      </c>
      <c r="B3" t="str">
        <v>GIOI</v>
      </c>
      <c r="C3">
        <f>'toan9tk'!D3</f>
      </c>
      <c r="D3">
        <f>IF(ISERROR(C3),LEFT(B3&amp;"",1)="#",IF(ISNUMBER(C3),AND(ISNUMBER(B3),ABS(C3-B3)&lt;=0.000001*MAX(1,ABS(B3))),EXACT(C3&amp;"",B3&amp;"")))</f>
      </c>
      <c r="E3">
        <f>ISERROR(C3)</f>
      </c>
    </row>
    <row r="4">
      <c r="A4" t="str">
        <v>D4</v>
      </c>
      <c r="B4" t="str">
        <v>KHA</v>
      </c>
      <c r="C4">
        <f>'toan9tk'!D4</f>
      </c>
      <c r="D4">
        <f>IF(ISERROR(C4),LEFT(B4&amp;"",1)="#",IF(ISNUMBER(C4),AND(ISNUMBER(B4),ABS(C4-B4)&lt;=0.000001*MAX(1,ABS(B4))),EXACT(C4&amp;"",B4&amp;"")))</f>
      </c>
      <c r="E4">
        <f>ISERROR(C4)</f>
      </c>
    </row>
    <row r="5">
      <c r="A5" t="str">
        <v>D5</v>
      </c>
      <c r="B5" t="str">
        <v>KHA</v>
      </c>
      <c r="C5">
        <f>'toan9tk'!D5</f>
      </c>
      <c r="D5">
        <f>IF(ISERROR(C5),LEFT(B5&amp;"",1)="#",IF(ISNUMBER(C5),AND(ISNUMBER(B5),ABS(C5-B5)&lt;=0.000001*MAX(1,ABS(B5))),EXACT(C5&amp;"",B5&amp;"")))</f>
      </c>
      <c r="E5">
        <f>ISERROR(C5)</f>
      </c>
    </row>
    <row r="6">
      <c r="A6" t="str">
        <v>D6</v>
      </c>
      <c r="B6" t="str">
        <v>KHA</v>
      </c>
      <c r="C6">
        <f>'toan9tk'!D6</f>
      </c>
      <c r="D6">
        <f>IF(ISERROR(C6),LEFT(B6&amp;"",1)="#",IF(ISNUMBER(C6),AND(ISNUMBER(B6),ABS(C6-B6)&lt;=0.000001*MAX(1,ABS(B6))),EXACT(C6&amp;"",B6&amp;"")))</f>
      </c>
      <c r="E6">
        <f>ISERROR(C6)</f>
      </c>
    </row>
    <row r="7">
      <c r="A7" t="str">
        <v>D7</v>
      </c>
      <c r="B7" t="str">
        <v>GIOI</v>
      </c>
      <c r="C7">
        <f>'toan9tk'!D7</f>
      </c>
      <c r="D7">
        <f>IF(ISERROR(C7),LEFT(B7&amp;"",1)="#",IF(ISNUMBER(C7),AND(ISNUMBER(B7),ABS(C7-B7)&lt;=0.000001*MAX(1,ABS(B7))),EXACT(C7&amp;"",B7&amp;"")))</f>
      </c>
      <c r="E7">
        <f>ISERROR(C7)</f>
      </c>
    </row>
    <row r="8">
      <c r="A8" t="str">
        <v>D8</v>
      </c>
      <c r="B8" t="str">
        <v>TB</v>
      </c>
      <c r="C8">
        <f>'toan9tk'!D8</f>
      </c>
      <c r="D8">
        <f>IF(ISERROR(C8),LEFT(B8&amp;"",1)="#",IF(ISNUMBER(C8),AND(ISNUMBER(B8),ABS(C8-B8)&lt;=0.000001*MAX(1,ABS(B8))),EXACT(C8&amp;"",B8&amp;"")))</f>
      </c>
      <c r="E8">
        <f>ISERROR(C8)</f>
      </c>
    </row>
    <row r="9">
      <c r="A9" t="str">
        <v>D9</v>
      </c>
      <c r="B9" t="str">
        <v>TB</v>
      </c>
      <c r="C9">
        <f>'toan9tk'!D9</f>
      </c>
      <c r="D9">
        <f>IF(ISERROR(C9),LEFT(B9&amp;"",1)="#",IF(ISNUMBER(C9),AND(ISNUMBER(B9),ABS(C9-B9)&lt;=0.000001*MAX(1,ABS(B9))),EXACT(C9&amp;"",B9&amp;"")))</f>
      </c>
      <c r="E9">
        <f>ISERROR(C9)</f>
      </c>
    </row>
    <row r="10">
      <c r="A10" t="str">
        <v>D10</v>
      </c>
      <c r="B10" t="str">
        <v>YEU</v>
      </c>
      <c r="C10">
        <f>'toan9tk'!D10</f>
      </c>
      <c r="D10">
        <f>IF(ISERROR(C10),LEFT(B10&amp;"",1)="#",IF(ISNUMBER(C10),AND(ISNUMBER(B10),ABS(C10-B10)&lt;=0.000001*MAX(1,ABS(B10))),EXACT(C10&amp;"",B10&amp;"")))</f>
      </c>
      <c r="E10">
        <f>ISERROR(C10)</f>
      </c>
    </row>
    <row r="11">
      <c r="A11" t="str">
        <v>D11</v>
      </c>
      <c r="B11" t="str">
        <v>YEU</v>
      </c>
      <c r="C11">
        <f>'toan9tk'!D11</f>
      </c>
      <c r="D11">
        <f>IF(ISERROR(C11),LEFT(B11&amp;"",1)="#",IF(ISNUMBER(C11),AND(ISNUMBER(B11),ABS(C11-B11)&lt;=0.000001*MAX(1,ABS(B11))),EXACT(C11&amp;"",B11&amp;"")))</f>
      </c>
      <c r="E11">
        <f>ISERROR(C11)</f>
      </c>
    </row>
    <row r="12">
      <c r="A12" t="str">
        <v>D12</v>
      </c>
      <c r="B12" t="str">
        <v>GIOI</v>
      </c>
      <c r="C12">
        <f>'toan9tk'!D12</f>
      </c>
      <c r="D12">
        <f>IF(ISERROR(C12),LEFT(B12&amp;"",1)="#",IF(ISNUMBER(C12),AND(ISNUMBER(B12),ABS(C12-B12)&lt;=0.000001*MAX(1,ABS(B12))),EXACT(C12&amp;"",B12&amp;"")))</f>
      </c>
      <c r="E12">
        <f>ISERROR(C12)</f>
      </c>
    </row>
    <row r="13">
      <c r="A13" t="str">
        <v>D13</v>
      </c>
      <c r="B13" t="str">
        <v>YEU</v>
      </c>
      <c r="C13">
        <f>'toan9tk'!D13</f>
      </c>
      <c r="D13">
        <f>IF(ISERROR(C13),LEFT(B13&amp;"",1)="#",IF(ISNUMBER(C13),AND(ISNUMBER(B13),ABS(C13-B13)&lt;=0.000001*MAX(1,ABS(B13))),EXACT(C13&amp;"",B13&amp;"")))</f>
      </c>
      <c r="E13">
        <f>ISERROR(C13)</f>
      </c>
    </row>
    <row r="14">
      <c r="A14" t="str">
        <v>Z2</v>
      </c>
      <c r="B14">
        <v>0</v>
      </c>
      <c r="C14">
        <f>'toan9tk'!Z2</f>
      </c>
      <c r="D14">
        <f>IF(ISERROR(C14),LEFT(B14&amp;"",1)="#",IF(ISNUMBER(C14),AND(ISNUMBER(B14),ABS(C14-B14)&lt;=0.000001*MAX(1,ABS(B14))),EXACT(C14&amp;"",B14&amp;"")))</f>
      </c>
      <c r="E14">
        <f>ISERROR(C14)</f>
      </c>
    </row>
    <row r="15">
      <c r="A15" t="str">
        <v>Z3</v>
      </c>
      <c r="B15">
        <v>3</v>
      </c>
      <c r="C15">
        <f>'toan9tk'!Z3</f>
      </c>
      <c r="D15">
        <f>IF(ISERROR(C15),LEFT(B15&amp;"",1)="#",IF(ISNUMBER(C15),AND(ISNUMBER(B15),ABS(C15-B15)&lt;=0.000001*MAX(1,ABS(B15))),EXACT(C15&amp;"",B15&amp;"")))</f>
      </c>
      <c r="E15">
        <f>ISERROR(C15)</f>
      </c>
    </row>
    <row r="16">
      <c r="A16" t="str">
        <v>Z4</v>
      </c>
      <c r="B16">
        <v>2</v>
      </c>
      <c r="C16">
        <f>'toan9tk'!Z4</f>
      </c>
      <c r="D16">
        <f>IF(ISERROR(C16),LEFT(B16&amp;"",1)="#",IF(ISNUMBER(C16),AND(ISNUMBER(B16),ABS(C16-B16)&lt;=0.000001*MAX(1,ABS(B16))),EXACT(C16&amp;"",B16&amp;"")))</f>
      </c>
      <c r="E16">
        <f>ISERROR(C16)</f>
      </c>
    </row>
    <row r="17">
      <c r="A17" t="str">
        <v>Z5</v>
      </c>
      <c r="B17">
        <v>0.25</v>
      </c>
      <c r="C17">
        <f>'toan9tk'!Z5</f>
      </c>
      <c r="D17">
        <f>IF(ISERROR(C17),LEFT(B17&amp;"",1)="#",IF(ISNUMBER(C17),AND(ISNUMBER(B17),ABS(C17-B17)&lt;=0.000001*MAX(1,ABS(B17))),EXACT(C17&amp;"",B17&amp;"")))</f>
      </c>
      <c r="E17">
        <f>ISERROR(C17)</f>
      </c>
    </row>
    <row r="18">
      <c r="A18" t="str">
        <v>Z6</v>
      </c>
      <c r="B18">
        <v>0.3333</v>
      </c>
      <c r="C18">
        <f>'toan9tk'!Z6</f>
      </c>
      <c r="D18">
        <f>IF(ISERROR(C18),LEFT(B18&amp;"",1)="#",IF(ISNUMBER(C18),AND(ISNUMBER(B18),ABS(C18-B18)&lt;=0.000001*MAX(1,ABS(B18))),EXACT(C18&amp;"",B18&amp;"")))</f>
      </c>
      <c r="E18">
        <f>ISERROR(C18)</f>
      </c>
    </row>
    <row r="19">
      <c r="A19" t="str">
        <v>Z7</v>
      </c>
      <c r="B19">
        <v>7</v>
      </c>
      <c r="C19">
        <f>'toan9tk'!Z7</f>
      </c>
      <c r="D19">
        <f>IF(ISERROR(C19),LEFT(B19&amp;"",1)="#",IF(ISNUMBER(C19),AND(ISNUMBER(B19),ABS(C19-B19)&lt;=0.000001*MAX(1,ABS(B19))),EXACT(C19&amp;"",B19&amp;"")))</f>
      </c>
      <c r="E19">
        <f>ISERROR(C19)</f>
      </c>
    </row>
    <row r="20">
      <c r="A20" t="str">
        <v>Z8</v>
      </c>
      <c r="B20">
        <v>6.75</v>
      </c>
      <c r="C20">
        <f>'toan9tk'!Z8</f>
      </c>
      <c r="D20">
        <f>IF(ISERROR(C20),LEFT(B20&amp;"",1)="#",IF(ISNUMBER(C20),AND(ISNUMBER(B20),ABS(C20-B20)&lt;=0.000001*MAX(1,ABS(B20))),EXACT(C20&amp;"",B20&amp;"")))</f>
      </c>
      <c r="E20">
        <f>ISERROR(C20)</f>
      </c>
    </row>
    <row r="21">
      <c r="A21" t="str">
        <v>Z9</v>
      </c>
      <c r="B21">
        <v>10</v>
      </c>
      <c r="C21">
        <f>'toan9tk'!Z9</f>
      </c>
      <c r="D21">
        <f>IF(ISERROR(C21),LEFT(B21&amp;"",1)="#",IF(ISNUMBER(C21),AND(ISNUMBER(B21),ABS(C21-B21)&lt;=0.000001*MAX(1,ABS(B21))),EXACT(C21&amp;"",B21&amp;"")))</f>
      </c>
      <c r="E21">
        <f>ISERROR(C21)</f>
      </c>
    </row>
    <row r="22">
      <c r="A22" t="str">
        <v>Z10</v>
      </c>
      <c r="B22">
        <v>4</v>
      </c>
      <c r="C22">
        <f>'toan9tk'!Z10</f>
      </c>
      <c r="D22">
        <f>IF(ISERROR(C22),LEFT(B22&amp;"",1)="#",IF(ISNUMBER(C22),AND(ISNUMBER(B22),ABS(C22-B22)&lt;=0.000001*MAX(1,ABS(B22))),EXACT(C22&amp;"",B22&amp;"")))</f>
      </c>
      <c r="E22">
        <f>ISERROR(C22)</f>
      </c>
    </row>
    <row r="23">
      <c r="A23" t="str">
        <v>Z11</v>
      </c>
      <c r="B23">
        <v>2</v>
      </c>
      <c r="C23">
        <f>'toan9tk'!Z11</f>
      </c>
      <c r="D23">
        <f>IF(ISERROR(C23),LEFT(B23&amp;"",1)="#",IF(ISNUMBER(C23),AND(ISNUMBER(B23),ABS(C23-B23)&lt;=0.000001*MAX(1,ABS(B23))),EXACT(C23&amp;"",B23&amp;"")))</f>
      </c>
      <c r="E23">
        <f>ISERROR(C23)</f>
      </c>
    </row>
    <row r="24">
      <c r="A24" t="str">
        <v>Z12</v>
      </c>
      <c r="B24">
        <v>5.75</v>
      </c>
      <c r="C24">
        <f>'toan9tk'!Z12</f>
      </c>
      <c r="D24">
        <f>IF(ISERROR(C24),LEFT(B24&amp;"",1)="#",IF(ISNUMBER(C24),AND(ISNUMBER(B24),ABS(C24-B24)&lt;=0.000001*MAX(1,ABS(B24))),EXACT(C24&amp;"",B24&amp;"")))</f>
      </c>
      <c r="E24">
        <f>ISERROR(C24)</f>
      </c>
    </row>
    <row r="25">
      <c r="A25" t="str">
        <v>Z13</v>
      </c>
      <c r="B25">
        <v>3</v>
      </c>
      <c r="C25">
        <f>'toan9tk'!Z13</f>
      </c>
      <c r="D25">
        <f>IF(ISERROR(C25),LEFT(B25&amp;"",1)="#",IF(ISNUMBER(C25),AND(ISNUMBER(B25),ABS(C25-B25)&lt;=0.000001*MAX(1,ABS(B25))),EXACT(C25&amp;"",B25&amp;"")))</f>
      </c>
      <c r="E25">
        <f>ISERROR(C25)</f>
      </c>
    </row>
    <row r="26">
      <c r="A26" t="str">
        <v>Z14</v>
      </c>
      <c r="B26">
        <v>21</v>
      </c>
      <c r="C26">
        <f>'toan9tk'!Z14</f>
      </c>
      <c r="D26">
        <f>IF(ISERROR(C26),LEFT(B26&amp;"",1)="#",IF(ISNUMBER(C26),AND(ISNUMBER(B26),ABS(C26-B26)&lt;=0.000001*MAX(1,ABS(B26))),EXACT(C26&amp;"",B26&amp;"")))</f>
      </c>
      <c r="E26">
        <f>ISERROR(C26)</f>
      </c>
    </row>
  </sheetData>
  <ignoredErrors>
    <ignoredError numberStoredAsText="1" sqref="A1:E26"/>
  </ignoredErrors>
</worksheet>
</file>

<file path=xl/worksheets/sheet2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MaVung</v>
      </c>
      <c r="B1" t="str">
        <v>DienTich</v>
      </c>
      <c r="C1" t="str">
        <v>DanSo</v>
      </c>
      <c r="D1" t="str">
        <v>SoSinh</v>
      </c>
      <c r="E1" t="str">
        <v>SoTu</v>
      </c>
      <c r="F1" t="str">
        <v>MatDo</v>
      </c>
      <c r="G1" t="str">
        <v>TiSuatSinh</v>
      </c>
      <c r="H1" t="str">
        <v>TiSuatTu</v>
      </c>
      <c r="I1" t="str">
        <v>GiaTang</v>
      </c>
      <c r="J1" t="str">
        <v>PhanLoai</v>
      </c>
      <c r="W1" t="str">
        <v>PhanLoai</v>
      </c>
      <c r="Y1" t="str">
        <v>TongHop</v>
      </c>
      <c r="Z1" t="str">
        <v>KetQua</v>
      </c>
    </row>
    <row r="2">
      <c r="A2" t="str">
        <v>V01</v>
      </c>
      <c r="B2">
        <v>4172</v>
      </c>
      <c r="C2">
        <v>6158</v>
      </c>
      <c r="D2">
        <v>147792</v>
      </c>
      <c r="E2">
        <v>30790</v>
      </c>
      <c r="F2">
        <f>ROUND(C2*1000/B2,1)</f>
        <v>1476</v>
      </c>
      <c r="G2">
        <f>ROUND(D2/C2,2)</f>
        <v>24</v>
      </c>
      <c r="H2">
        <f>ROUND(E2/C2,2)</f>
        <v>5</v>
      </c>
      <c r="I2">
        <f>ROUND((D2-E2)/C2/10,3)</f>
        <v>1.9</v>
      </c>
      <c r="J2" t="str">
        <f>IF(I2&gt;=1.5,"CAO",IF(I2&gt;=1,"TRUNG BINH","THAP"))</f>
        <v>CAO</v>
      </c>
      <c r="W2" t="str">
        <v>CAO</v>
      </c>
      <c r="Y2" t="str">
        <v>Ma MaVung co MatDo lon nhat</v>
      </c>
      <c r="Z2" t="str">
        <f>INDEX(A2:A13,MATCH(MAX(F2:F13),F2:F13,0))</f>
        <v>V02</v>
      </c>
    </row>
    <row r="3">
      <c r="A3" t="str">
        <v>V02</v>
      </c>
      <c r="B3">
        <v>932</v>
      </c>
      <c r="C3">
        <v>4426</v>
      </c>
      <c r="D3">
        <v>75242</v>
      </c>
      <c r="E3">
        <v>26556</v>
      </c>
      <c r="F3">
        <f>ROUND(C3*1000/B3,1)</f>
        <v>4748.9</v>
      </c>
      <c r="G3">
        <f>ROUND(D3/C3,2)</f>
        <v>17</v>
      </c>
      <c r="H3">
        <f>ROUND(E3/C3,2)</f>
        <v>6</v>
      </c>
      <c r="I3">
        <f>ROUND((D3-E3)/C3/10,3)</f>
        <v>1.1</v>
      </c>
      <c r="J3" t="str">
        <f>IF(I3&gt;=1.5,"CAO",IF(I3&gt;=1,"TRUNG BINH","THAP"))</f>
        <v>TRUNG BINH</v>
      </c>
      <c r="Y3" t="str">
        <v>Tong DanSo khi PhanLoai = CAO</v>
      </c>
      <c r="Z3">
        <f>SUMIF(J2:J13,"CAO",C2:C13)</f>
        <v>13963</v>
      </c>
    </row>
    <row r="4">
      <c r="A4" t="str">
        <v>V03</v>
      </c>
      <c r="B4">
        <v>7970</v>
      </c>
      <c r="C4">
        <v>1822</v>
      </c>
      <c r="D4">
        <v>20042</v>
      </c>
      <c r="E4">
        <v>16398</v>
      </c>
      <c r="F4">
        <f>ROUND(C4*1000/B4,1)</f>
        <v>228.6</v>
      </c>
      <c r="G4">
        <f>ROUND(D4/C4,2)</f>
        <v>11</v>
      </c>
      <c r="H4">
        <f>ROUND(E4/C4,2)</f>
        <v>9</v>
      </c>
      <c r="I4">
        <f>ROUND((D4-E4)/C4/10,3)</f>
        <v>0.2</v>
      </c>
      <c r="J4" t="str">
        <f>IF(I4&gt;=1.5,"CAO",IF(I4&gt;=1,"TRUNG BINH","THAP"))</f>
        <v>THAP</v>
      </c>
      <c r="Y4" t="str">
        <v>So dong PhanLoai = THAP, DanSo &gt;=3000</v>
      </c>
      <c r="Z4">
        <f>COUNTIFS(J2:J13,"THAP",C2:C13,"&gt;=3000")</f>
        <v>3</v>
      </c>
    </row>
    <row r="5">
      <c r="A5" t="str">
        <v>V04</v>
      </c>
      <c r="B5">
        <v>7998</v>
      </c>
      <c r="C5">
        <v>266</v>
      </c>
      <c r="D5">
        <v>3724</v>
      </c>
      <c r="E5">
        <v>2128</v>
      </c>
      <c r="F5">
        <f>ROUND(C5*1000/B5,1)</f>
        <v>33.3</v>
      </c>
      <c r="G5">
        <f>ROUND(D5/C5,2)</f>
        <v>14</v>
      </c>
      <c r="H5">
        <f>ROUND(E5/C5,2)</f>
        <v>8</v>
      </c>
      <c r="I5">
        <f>ROUND((D5-E5)/C5/10,3)</f>
        <v>0.6</v>
      </c>
      <c r="J5" t="str">
        <f>IF(I5&gt;=1.5,"CAO",IF(I5&gt;=1,"TRUNG BINH","THAP"))</f>
        <v>THAP</v>
      </c>
      <c r="Y5" t="str">
        <v>MatDo trung binh khi PhanLoai = TRUNG BINH</v>
      </c>
      <c r="Z5">
        <f>AVERAGEIF(J2:J13,"TRUNG BINH",F2:F13)</f>
        <v>2240.5666666666666</v>
      </c>
    </row>
    <row r="6">
      <c r="A6" t="str">
        <v>V05</v>
      </c>
      <c r="B6">
        <v>3076</v>
      </c>
      <c r="C6">
        <v>5819</v>
      </c>
      <c r="D6">
        <v>87285</v>
      </c>
      <c r="E6">
        <v>52371</v>
      </c>
      <c r="F6">
        <f>ROUND(C6*1000/B6,1)</f>
        <v>1891.7</v>
      </c>
      <c r="G6">
        <f>ROUND(D6/C6,2)</f>
        <v>15</v>
      </c>
      <c r="H6">
        <f>ROUND(E6/C6,2)</f>
        <v>9</v>
      </c>
      <c r="I6">
        <f>ROUND((D6-E6)/C6/10,3)</f>
        <v>0.6</v>
      </c>
      <c r="J6" t="str">
        <f>IF(I6&gt;=1.5,"CAO",IF(I6&gt;=1,"TRUNG BINH","THAP"))</f>
        <v>THAP</v>
      </c>
      <c r="Y6" t="str">
        <v>GiaTang lon nhat khi PhanLoai = CAO</v>
      </c>
      <c r="Z6">
        <f>_xlfn.MAXIFS(I2:I13,J2:J13,"CAO")</f>
        <v>1.9</v>
      </c>
    </row>
    <row r="7">
      <c r="A7" t="str">
        <v>V06</v>
      </c>
      <c r="B7">
        <v>7659</v>
      </c>
      <c r="C7">
        <v>6895</v>
      </c>
      <c r="D7">
        <v>89635</v>
      </c>
      <c r="E7">
        <v>55160</v>
      </c>
      <c r="F7">
        <f>ROUND(C7*1000/B7,1)</f>
        <v>900.2</v>
      </c>
      <c r="G7">
        <f>ROUND(D7/C7,2)</f>
        <v>13</v>
      </c>
      <c r="H7">
        <f>ROUND(E7/C7,2)</f>
        <v>8</v>
      </c>
      <c r="I7">
        <f>ROUND((D7-E7)/C7/10,3)</f>
        <v>0.5</v>
      </c>
      <c r="J7" t="str">
        <f>IF(I7&gt;=1.5,"CAO",IF(I7&gt;=1,"TRUNG BINH","THAP"))</f>
        <v>THAP</v>
      </c>
      <c r="Y7" t="str">
        <v>MatDo trung vi</v>
      </c>
      <c r="Z7">
        <f>MEDIAN(F2:F13)</f>
        <v>1032.1</v>
      </c>
    </row>
    <row r="8">
      <c r="A8" t="str">
        <v>V07</v>
      </c>
      <c r="B8">
        <v>2413</v>
      </c>
      <c r="C8">
        <v>7805</v>
      </c>
      <c r="D8">
        <v>187320</v>
      </c>
      <c r="E8">
        <v>70245</v>
      </c>
      <c r="F8">
        <f>ROUND(C8*1000/B8,1)</f>
        <v>3234.6</v>
      </c>
      <c r="G8">
        <f>ROUND(D8/C8,2)</f>
        <v>24</v>
      </c>
      <c r="H8">
        <f>ROUND(E8/C8,2)</f>
        <v>9</v>
      </c>
      <c r="I8">
        <f>ROUND((D8-E8)/C8/10,3)</f>
        <v>1.5</v>
      </c>
      <c r="J8" t="str">
        <f>IF(I8&gt;=1.5,"CAO",IF(I8&gt;=1,"TRUNG BINH","THAP"))</f>
        <v>CAO</v>
      </c>
      <c r="Y8" t="str">
        <v>MatDo lon thu hai</v>
      </c>
      <c r="Z8">
        <f>LARGE(F2:F13,2)</f>
        <v>3234.6</v>
      </c>
    </row>
    <row r="9">
      <c r="A9" t="str">
        <v>V08</v>
      </c>
      <c r="B9">
        <v>4579</v>
      </c>
      <c r="C9">
        <v>2095</v>
      </c>
      <c r="D9">
        <v>31425</v>
      </c>
      <c r="E9">
        <v>14665</v>
      </c>
      <c r="F9">
        <f>ROUND(C9*1000/B9,1)</f>
        <v>457.5</v>
      </c>
      <c r="G9">
        <f>ROUND(D9/C9,2)</f>
        <v>15</v>
      </c>
      <c r="H9">
        <f>ROUND(E9/C9,2)</f>
        <v>7</v>
      </c>
      <c r="I9">
        <f>ROUND((D9-E9)/C9/10,3)</f>
        <v>0.8</v>
      </c>
      <c r="J9" t="str">
        <f>IF(I9&gt;=1.5,"CAO",IF(I9&gt;=1,"TRUNG BINH","THAP"))</f>
        <v>THAP</v>
      </c>
      <c r="Y9" t="str">
        <v>Do lech chuan GiaTang</v>
      </c>
      <c r="Z9">
        <f>ROUND(STDEV(I2:I13),3)</f>
        <v>0.483</v>
      </c>
    </row>
    <row r="10">
      <c r="A10" t="str">
        <v>V09</v>
      </c>
      <c r="B10">
        <v>2317</v>
      </c>
      <c r="C10">
        <v>1485</v>
      </c>
      <c r="D10">
        <v>25245</v>
      </c>
      <c r="E10">
        <v>13365</v>
      </c>
      <c r="F10">
        <f>ROUND(C10*1000/B10,1)</f>
        <v>640.9</v>
      </c>
      <c r="G10">
        <f>ROUND(D10/C10,2)</f>
        <v>17</v>
      </c>
      <c r="H10">
        <f>ROUND(E10/C10,2)</f>
        <v>9</v>
      </c>
      <c r="I10">
        <f>ROUND((D10-E10)/C10/10,3)</f>
        <v>0.8</v>
      </c>
      <c r="J10" t="str">
        <f>IF(I10&gt;=1.5,"CAO",IF(I10&gt;=1,"TRUNG BINH","THAP"))</f>
        <v>THAP</v>
      </c>
      <c r="Y10" t="str">
        <v>Tong DanSo theo tieu chi W1:W2</v>
      </c>
      <c r="Z10">
        <f>DSUM(A1:J13,"DanSo",W1:W2)</f>
        <v>13963</v>
      </c>
    </row>
    <row r="11">
      <c r="A11" t="str">
        <v>V10</v>
      </c>
      <c r="B11">
        <v>6395</v>
      </c>
      <c r="C11">
        <v>9000</v>
      </c>
      <c r="D11">
        <v>207000</v>
      </c>
      <c r="E11">
        <v>81000</v>
      </c>
      <c r="F11">
        <f>ROUND(C11*1000/B11,1)</f>
        <v>1407.3</v>
      </c>
      <c r="G11">
        <f>ROUND(D11/C11,2)</f>
        <v>23</v>
      </c>
      <c r="H11">
        <f>ROUND(E11/C11,2)</f>
        <v>9</v>
      </c>
      <c r="I11">
        <f>ROUND((D11-E11)/C11/10,3)</f>
        <v>1.4</v>
      </c>
      <c r="J11" t="str">
        <f>IF(I11&gt;=1.5,"CAO",IF(I11&gt;=1,"TRUNG BINH","THAP"))</f>
        <v>TRUNG BINH</v>
      </c>
      <c r="Y11" t="str">
        <v>So dong theo tieu chi W1:W2</v>
      </c>
      <c r="Z11">
        <f>DCOUNT(A1:J13,"DanSo",W1:W2)</f>
        <v>2</v>
      </c>
    </row>
    <row r="12">
      <c r="A12" t="str">
        <v>V11</v>
      </c>
      <c r="B12">
        <v>7190</v>
      </c>
      <c r="C12">
        <v>8369</v>
      </c>
      <c r="D12">
        <v>133904</v>
      </c>
      <c r="E12">
        <v>75321</v>
      </c>
      <c r="F12">
        <f>ROUND(C12*1000/B12,1)</f>
        <v>1164</v>
      </c>
      <c r="G12">
        <f>ROUND(D12/C12,2)</f>
        <v>16</v>
      </c>
      <c r="H12">
        <f>ROUND(E12/C12,2)</f>
        <v>9</v>
      </c>
      <c r="I12">
        <f>ROUND((D12-E12)/C12/10,3)</f>
        <v>0.7</v>
      </c>
      <c r="J12" t="str">
        <f>IF(I12&gt;=1.5,"CAO",IF(I12&gt;=1,"TRUNG BINH","THAP"))</f>
        <v>THAP</v>
      </c>
      <c r="Y12" t="str">
        <v>Tong DanSo khi PhanLoai = CAO (SUMPRODUCT)</v>
      </c>
      <c r="Z12">
        <f>SUMPRODUCT((J2:J13="CAO")*C2:C13)</f>
        <v>13963</v>
      </c>
    </row>
    <row r="13">
      <c r="A13" t="str">
        <v>V12</v>
      </c>
      <c r="B13">
        <v>3827</v>
      </c>
      <c r="C13">
        <v>2164</v>
      </c>
      <c r="D13">
        <v>32460</v>
      </c>
      <c r="E13">
        <v>8656</v>
      </c>
      <c r="F13">
        <f>ROUND(C13*1000/B13,1)</f>
        <v>565.5</v>
      </c>
      <c r="G13">
        <f>ROUND(D13/C13,2)</f>
        <v>15</v>
      </c>
      <c r="H13">
        <f>ROUND(E13/C13,2)</f>
        <v>4</v>
      </c>
      <c r="I13">
        <f>ROUND((D13-E13)/C13/10,3)</f>
        <v>1.1</v>
      </c>
      <c r="J13" t="str">
        <f>IF(I13&gt;=1.5,"CAO",IF(I13&gt;=1,"TRUNG BINH","THAP"))</f>
        <v>TRUNG BINH</v>
      </c>
      <c r="Y13" t="str">
        <v>Tong DienTich x DanSo</v>
      </c>
      <c r="Z13">
        <f>SUMPRODUCT(B2:B13,C2:C13)</f>
        <v>275050018</v>
      </c>
    </row>
  </sheetData>
  <ignoredErrors>
    <ignoredError numberStoredAsText="1" sqref="A1:Z13"/>
  </ignoredErrors>
</worksheet>
</file>

<file path=xl/worksheets/sheet25.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1476</v>
      </c>
      <c r="C2">
        <f>'dia10'!F2</f>
      </c>
      <c r="D2">
        <f>IF(ISERROR(C2),LEFT(B2&amp;"",1)="#",IF(ISNUMBER(C2),AND(ISNUMBER(B2),ABS(C2-B2)&lt;=0.000001*MAX(1,ABS(B2))),EXACT(C2&amp;"",B2&amp;"")))</f>
      </c>
      <c r="E2">
        <f>ISERROR(C2)</f>
      </c>
    </row>
    <row r="3">
      <c r="A3" t="str">
        <v>F3</v>
      </c>
      <c r="B3">
        <v>4748.9</v>
      </c>
      <c r="C3">
        <f>'dia10'!F3</f>
      </c>
      <c r="D3">
        <f>IF(ISERROR(C3),LEFT(B3&amp;"",1)="#",IF(ISNUMBER(C3),AND(ISNUMBER(B3),ABS(C3-B3)&lt;=0.000001*MAX(1,ABS(B3))),EXACT(C3&amp;"",B3&amp;"")))</f>
      </c>
      <c r="E3">
        <f>ISERROR(C3)</f>
      </c>
    </row>
    <row r="4">
      <c r="A4" t="str">
        <v>F4</v>
      </c>
      <c r="B4">
        <v>228.6</v>
      </c>
      <c r="C4">
        <f>'dia10'!F4</f>
      </c>
      <c r="D4">
        <f>IF(ISERROR(C4),LEFT(B4&amp;"",1)="#",IF(ISNUMBER(C4),AND(ISNUMBER(B4),ABS(C4-B4)&lt;=0.000001*MAX(1,ABS(B4))),EXACT(C4&amp;"",B4&amp;"")))</f>
      </c>
      <c r="E4">
        <f>ISERROR(C4)</f>
      </c>
    </row>
    <row r="5">
      <c r="A5" t="str">
        <v>F5</v>
      </c>
      <c r="B5">
        <v>33.3</v>
      </c>
      <c r="C5">
        <f>'dia10'!F5</f>
      </c>
      <c r="D5">
        <f>IF(ISERROR(C5),LEFT(B5&amp;"",1)="#",IF(ISNUMBER(C5),AND(ISNUMBER(B5),ABS(C5-B5)&lt;=0.000001*MAX(1,ABS(B5))),EXACT(C5&amp;"",B5&amp;"")))</f>
      </c>
      <c r="E5">
        <f>ISERROR(C5)</f>
      </c>
    </row>
    <row r="6">
      <c r="A6" t="str">
        <v>F6</v>
      </c>
      <c r="B6">
        <v>1891.7</v>
      </c>
      <c r="C6">
        <f>'dia10'!F6</f>
      </c>
      <c r="D6">
        <f>IF(ISERROR(C6),LEFT(B6&amp;"",1)="#",IF(ISNUMBER(C6),AND(ISNUMBER(B6),ABS(C6-B6)&lt;=0.000001*MAX(1,ABS(B6))),EXACT(C6&amp;"",B6&amp;"")))</f>
      </c>
      <c r="E6">
        <f>ISERROR(C6)</f>
      </c>
    </row>
    <row r="7">
      <c r="A7" t="str">
        <v>F7</v>
      </c>
      <c r="B7">
        <v>900.2</v>
      </c>
      <c r="C7">
        <f>'dia10'!F7</f>
      </c>
      <c r="D7">
        <f>IF(ISERROR(C7),LEFT(B7&amp;"",1)="#",IF(ISNUMBER(C7),AND(ISNUMBER(B7),ABS(C7-B7)&lt;=0.000001*MAX(1,ABS(B7))),EXACT(C7&amp;"",B7&amp;"")))</f>
      </c>
      <c r="E7">
        <f>ISERROR(C7)</f>
      </c>
    </row>
    <row r="8">
      <c r="A8" t="str">
        <v>F8</v>
      </c>
      <c r="B8">
        <v>3234.6</v>
      </c>
      <c r="C8">
        <f>'dia10'!F8</f>
      </c>
      <c r="D8">
        <f>IF(ISERROR(C8),LEFT(B8&amp;"",1)="#",IF(ISNUMBER(C8),AND(ISNUMBER(B8),ABS(C8-B8)&lt;=0.000001*MAX(1,ABS(B8))),EXACT(C8&amp;"",B8&amp;"")))</f>
      </c>
      <c r="E8">
        <f>ISERROR(C8)</f>
      </c>
    </row>
    <row r="9">
      <c r="A9" t="str">
        <v>F9</v>
      </c>
      <c r="B9">
        <v>457.5</v>
      </c>
      <c r="C9">
        <f>'dia10'!F9</f>
      </c>
      <c r="D9">
        <f>IF(ISERROR(C9),LEFT(B9&amp;"",1)="#",IF(ISNUMBER(C9),AND(ISNUMBER(B9),ABS(C9-B9)&lt;=0.000001*MAX(1,ABS(B9))),EXACT(C9&amp;"",B9&amp;"")))</f>
      </c>
      <c r="E9">
        <f>ISERROR(C9)</f>
      </c>
    </row>
    <row r="10">
      <c r="A10" t="str">
        <v>F10</v>
      </c>
      <c r="B10">
        <v>640.9</v>
      </c>
      <c r="C10">
        <f>'dia10'!F10</f>
      </c>
      <c r="D10">
        <f>IF(ISERROR(C10),LEFT(B10&amp;"",1)="#",IF(ISNUMBER(C10),AND(ISNUMBER(B10),ABS(C10-B10)&lt;=0.000001*MAX(1,ABS(B10))),EXACT(C10&amp;"",B10&amp;"")))</f>
      </c>
      <c r="E10">
        <f>ISERROR(C10)</f>
      </c>
    </row>
    <row r="11">
      <c r="A11" t="str">
        <v>F11</v>
      </c>
      <c r="B11">
        <v>1407.3</v>
      </c>
      <c r="C11">
        <f>'dia10'!F11</f>
      </c>
      <c r="D11">
        <f>IF(ISERROR(C11),LEFT(B11&amp;"",1)="#",IF(ISNUMBER(C11),AND(ISNUMBER(B11),ABS(C11-B11)&lt;=0.000001*MAX(1,ABS(B11))),EXACT(C11&amp;"",B11&amp;"")))</f>
      </c>
      <c r="E11">
        <f>ISERROR(C11)</f>
      </c>
    </row>
    <row r="12">
      <c r="A12" t="str">
        <v>F12</v>
      </c>
      <c r="B12">
        <v>1164</v>
      </c>
      <c r="C12">
        <f>'dia10'!F12</f>
      </c>
      <c r="D12">
        <f>IF(ISERROR(C12),LEFT(B12&amp;"",1)="#",IF(ISNUMBER(C12),AND(ISNUMBER(B12),ABS(C12-B12)&lt;=0.000001*MAX(1,ABS(B12))),EXACT(C12&amp;"",B12&amp;"")))</f>
      </c>
      <c r="E12">
        <f>ISERROR(C12)</f>
      </c>
    </row>
    <row r="13">
      <c r="A13" t="str">
        <v>F13</v>
      </c>
      <c r="B13">
        <v>565.5</v>
      </c>
      <c r="C13">
        <f>'dia10'!F13</f>
      </c>
      <c r="D13">
        <f>IF(ISERROR(C13),LEFT(B13&amp;"",1)="#",IF(ISNUMBER(C13),AND(ISNUMBER(B13),ABS(C13-B13)&lt;=0.000001*MAX(1,ABS(B13))),EXACT(C13&amp;"",B13&amp;"")))</f>
      </c>
      <c r="E13">
        <f>ISERROR(C13)</f>
      </c>
    </row>
    <row r="14">
      <c r="A14" t="str">
        <v>G2</v>
      </c>
      <c r="B14">
        <v>24</v>
      </c>
      <c r="C14">
        <f>'dia10'!G2</f>
      </c>
      <c r="D14">
        <f>IF(ISERROR(C14),LEFT(B14&amp;"",1)="#",IF(ISNUMBER(C14),AND(ISNUMBER(B14),ABS(C14-B14)&lt;=0.000001*MAX(1,ABS(B14))),EXACT(C14&amp;"",B14&amp;"")))</f>
      </c>
      <c r="E14">
        <f>ISERROR(C14)</f>
      </c>
    </row>
    <row r="15">
      <c r="A15" t="str">
        <v>G3</v>
      </c>
      <c r="B15">
        <v>17</v>
      </c>
      <c r="C15">
        <f>'dia10'!G3</f>
      </c>
      <c r="D15">
        <f>IF(ISERROR(C15),LEFT(B15&amp;"",1)="#",IF(ISNUMBER(C15),AND(ISNUMBER(B15),ABS(C15-B15)&lt;=0.000001*MAX(1,ABS(B15))),EXACT(C15&amp;"",B15&amp;"")))</f>
      </c>
      <c r="E15">
        <f>ISERROR(C15)</f>
      </c>
    </row>
    <row r="16">
      <c r="A16" t="str">
        <v>G4</v>
      </c>
      <c r="B16">
        <v>11</v>
      </c>
      <c r="C16">
        <f>'dia10'!G4</f>
      </c>
      <c r="D16">
        <f>IF(ISERROR(C16),LEFT(B16&amp;"",1)="#",IF(ISNUMBER(C16),AND(ISNUMBER(B16),ABS(C16-B16)&lt;=0.000001*MAX(1,ABS(B16))),EXACT(C16&amp;"",B16&amp;"")))</f>
      </c>
      <c r="E16">
        <f>ISERROR(C16)</f>
      </c>
    </row>
    <row r="17">
      <c r="A17" t="str">
        <v>G5</v>
      </c>
      <c r="B17">
        <v>14</v>
      </c>
      <c r="C17">
        <f>'dia10'!G5</f>
      </c>
      <c r="D17">
        <f>IF(ISERROR(C17),LEFT(B17&amp;"",1)="#",IF(ISNUMBER(C17),AND(ISNUMBER(B17),ABS(C17-B17)&lt;=0.000001*MAX(1,ABS(B17))),EXACT(C17&amp;"",B17&amp;"")))</f>
      </c>
      <c r="E17">
        <f>ISERROR(C17)</f>
      </c>
    </row>
    <row r="18">
      <c r="A18" t="str">
        <v>G6</v>
      </c>
      <c r="B18">
        <v>15</v>
      </c>
      <c r="C18">
        <f>'dia10'!G6</f>
      </c>
      <c r="D18">
        <f>IF(ISERROR(C18),LEFT(B18&amp;"",1)="#",IF(ISNUMBER(C18),AND(ISNUMBER(B18),ABS(C18-B18)&lt;=0.000001*MAX(1,ABS(B18))),EXACT(C18&amp;"",B18&amp;"")))</f>
      </c>
      <c r="E18">
        <f>ISERROR(C18)</f>
      </c>
    </row>
    <row r="19">
      <c r="A19" t="str">
        <v>G7</v>
      </c>
      <c r="B19">
        <v>13</v>
      </c>
      <c r="C19">
        <f>'dia10'!G7</f>
      </c>
      <c r="D19">
        <f>IF(ISERROR(C19),LEFT(B19&amp;"",1)="#",IF(ISNUMBER(C19),AND(ISNUMBER(B19),ABS(C19-B19)&lt;=0.000001*MAX(1,ABS(B19))),EXACT(C19&amp;"",B19&amp;"")))</f>
      </c>
      <c r="E19">
        <f>ISERROR(C19)</f>
      </c>
    </row>
    <row r="20">
      <c r="A20" t="str">
        <v>G8</v>
      </c>
      <c r="B20">
        <v>24</v>
      </c>
      <c r="C20">
        <f>'dia10'!G8</f>
      </c>
      <c r="D20">
        <f>IF(ISERROR(C20),LEFT(B20&amp;"",1)="#",IF(ISNUMBER(C20),AND(ISNUMBER(B20),ABS(C20-B20)&lt;=0.000001*MAX(1,ABS(B20))),EXACT(C20&amp;"",B20&amp;"")))</f>
      </c>
      <c r="E20">
        <f>ISERROR(C20)</f>
      </c>
    </row>
    <row r="21">
      <c r="A21" t="str">
        <v>G9</v>
      </c>
      <c r="B21">
        <v>15</v>
      </c>
      <c r="C21">
        <f>'dia10'!G9</f>
      </c>
      <c r="D21">
        <f>IF(ISERROR(C21),LEFT(B21&amp;"",1)="#",IF(ISNUMBER(C21),AND(ISNUMBER(B21),ABS(C21-B21)&lt;=0.000001*MAX(1,ABS(B21))),EXACT(C21&amp;"",B21&amp;"")))</f>
      </c>
      <c r="E21">
        <f>ISERROR(C21)</f>
      </c>
    </row>
    <row r="22">
      <c r="A22" t="str">
        <v>G10</v>
      </c>
      <c r="B22">
        <v>17</v>
      </c>
      <c r="C22">
        <f>'dia10'!G10</f>
      </c>
      <c r="D22">
        <f>IF(ISERROR(C22),LEFT(B22&amp;"",1)="#",IF(ISNUMBER(C22),AND(ISNUMBER(B22),ABS(C22-B22)&lt;=0.000001*MAX(1,ABS(B22))),EXACT(C22&amp;"",B22&amp;"")))</f>
      </c>
      <c r="E22">
        <f>ISERROR(C22)</f>
      </c>
    </row>
    <row r="23">
      <c r="A23" t="str">
        <v>G11</v>
      </c>
      <c r="B23">
        <v>23</v>
      </c>
      <c r="C23">
        <f>'dia10'!G11</f>
      </c>
      <c r="D23">
        <f>IF(ISERROR(C23),LEFT(B23&amp;"",1)="#",IF(ISNUMBER(C23),AND(ISNUMBER(B23),ABS(C23-B23)&lt;=0.000001*MAX(1,ABS(B23))),EXACT(C23&amp;"",B23&amp;"")))</f>
      </c>
      <c r="E23">
        <f>ISERROR(C23)</f>
      </c>
    </row>
    <row r="24">
      <c r="A24" t="str">
        <v>G12</v>
      </c>
      <c r="B24">
        <v>16</v>
      </c>
      <c r="C24">
        <f>'dia10'!G12</f>
      </c>
      <c r="D24">
        <f>IF(ISERROR(C24),LEFT(B24&amp;"",1)="#",IF(ISNUMBER(C24),AND(ISNUMBER(B24),ABS(C24-B24)&lt;=0.000001*MAX(1,ABS(B24))),EXACT(C24&amp;"",B24&amp;"")))</f>
      </c>
      <c r="E24">
        <f>ISERROR(C24)</f>
      </c>
    </row>
    <row r="25">
      <c r="A25" t="str">
        <v>G13</v>
      </c>
      <c r="B25">
        <v>15</v>
      </c>
      <c r="C25">
        <f>'dia10'!G13</f>
      </c>
      <c r="D25">
        <f>IF(ISERROR(C25),LEFT(B25&amp;"",1)="#",IF(ISNUMBER(C25),AND(ISNUMBER(B25),ABS(C25-B25)&lt;=0.000001*MAX(1,ABS(B25))),EXACT(C25&amp;"",B25&amp;"")))</f>
      </c>
      <c r="E25">
        <f>ISERROR(C25)</f>
      </c>
    </row>
    <row r="26">
      <c r="A26" t="str">
        <v>H2</v>
      </c>
      <c r="B26">
        <v>5</v>
      </c>
      <c r="C26">
        <f>'dia10'!H2</f>
      </c>
      <c r="D26">
        <f>IF(ISERROR(C26),LEFT(B26&amp;"",1)="#",IF(ISNUMBER(C26),AND(ISNUMBER(B26),ABS(C26-B26)&lt;=0.000001*MAX(1,ABS(B26))),EXACT(C26&amp;"",B26&amp;"")))</f>
      </c>
      <c r="E26">
        <f>ISERROR(C26)</f>
      </c>
    </row>
    <row r="27">
      <c r="A27" t="str">
        <v>H3</v>
      </c>
      <c r="B27">
        <v>6</v>
      </c>
      <c r="C27">
        <f>'dia10'!H3</f>
      </c>
      <c r="D27">
        <f>IF(ISERROR(C27),LEFT(B27&amp;"",1)="#",IF(ISNUMBER(C27),AND(ISNUMBER(B27),ABS(C27-B27)&lt;=0.000001*MAX(1,ABS(B27))),EXACT(C27&amp;"",B27&amp;"")))</f>
      </c>
      <c r="E27">
        <f>ISERROR(C27)</f>
      </c>
    </row>
    <row r="28">
      <c r="A28" t="str">
        <v>H4</v>
      </c>
      <c r="B28">
        <v>9</v>
      </c>
      <c r="C28">
        <f>'dia10'!H4</f>
      </c>
      <c r="D28">
        <f>IF(ISERROR(C28),LEFT(B28&amp;"",1)="#",IF(ISNUMBER(C28),AND(ISNUMBER(B28),ABS(C28-B28)&lt;=0.000001*MAX(1,ABS(B28))),EXACT(C28&amp;"",B28&amp;"")))</f>
      </c>
      <c r="E28">
        <f>ISERROR(C28)</f>
      </c>
    </row>
    <row r="29">
      <c r="A29" t="str">
        <v>H5</v>
      </c>
      <c r="B29">
        <v>8</v>
      </c>
      <c r="C29">
        <f>'dia10'!H5</f>
      </c>
      <c r="D29">
        <f>IF(ISERROR(C29),LEFT(B29&amp;"",1)="#",IF(ISNUMBER(C29),AND(ISNUMBER(B29),ABS(C29-B29)&lt;=0.000001*MAX(1,ABS(B29))),EXACT(C29&amp;"",B29&amp;"")))</f>
      </c>
      <c r="E29">
        <f>ISERROR(C29)</f>
      </c>
    </row>
    <row r="30">
      <c r="A30" t="str">
        <v>H6</v>
      </c>
      <c r="B30">
        <v>9</v>
      </c>
      <c r="C30">
        <f>'dia10'!H6</f>
      </c>
      <c r="D30">
        <f>IF(ISERROR(C30),LEFT(B30&amp;"",1)="#",IF(ISNUMBER(C30),AND(ISNUMBER(B30),ABS(C30-B30)&lt;=0.000001*MAX(1,ABS(B30))),EXACT(C30&amp;"",B30&amp;"")))</f>
      </c>
      <c r="E30">
        <f>ISERROR(C30)</f>
      </c>
    </row>
    <row r="31">
      <c r="A31" t="str">
        <v>H7</v>
      </c>
      <c r="B31">
        <v>8</v>
      </c>
      <c r="C31">
        <f>'dia10'!H7</f>
      </c>
      <c r="D31">
        <f>IF(ISERROR(C31),LEFT(B31&amp;"",1)="#",IF(ISNUMBER(C31),AND(ISNUMBER(B31),ABS(C31-B31)&lt;=0.000001*MAX(1,ABS(B31))),EXACT(C31&amp;"",B31&amp;"")))</f>
      </c>
      <c r="E31">
        <f>ISERROR(C31)</f>
      </c>
    </row>
    <row r="32">
      <c r="A32" t="str">
        <v>H8</v>
      </c>
      <c r="B32">
        <v>9</v>
      </c>
      <c r="C32">
        <f>'dia10'!H8</f>
      </c>
      <c r="D32">
        <f>IF(ISERROR(C32),LEFT(B32&amp;"",1)="#",IF(ISNUMBER(C32),AND(ISNUMBER(B32),ABS(C32-B32)&lt;=0.000001*MAX(1,ABS(B32))),EXACT(C32&amp;"",B32&amp;"")))</f>
      </c>
      <c r="E32">
        <f>ISERROR(C32)</f>
      </c>
    </row>
    <row r="33">
      <c r="A33" t="str">
        <v>H9</v>
      </c>
      <c r="B33">
        <v>7</v>
      </c>
      <c r="C33">
        <f>'dia10'!H9</f>
      </c>
      <c r="D33">
        <f>IF(ISERROR(C33),LEFT(B33&amp;"",1)="#",IF(ISNUMBER(C33),AND(ISNUMBER(B33),ABS(C33-B33)&lt;=0.000001*MAX(1,ABS(B33))),EXACT(C33&amp;"",B33&amp;"")))</f>
      </c>
      <c r="E33">
        <f>ISERROR(C33)</f>
      </c>
    </row>
    <row r="34">
      <c r="A34" t="str">
        <v>H10</v>
      </c>
      <c r="B34">
        <v>9</v>
      </c>
      <c r="C34">
        <f>'dia10'!H10</f>
      </c>
      <c r="D34">
        <f>IF(ISERROR(C34),LEFT(B34&amp;"",1)="#",IF(ISNUMBER(C34),AND(ISNUMBER(B34),ABS(C34-B34)&lt;=0.000001*MAX(1,ABS(B34))),EXACT(C34&amp;"",B34&amp;"")))</f>
      </c>
      <c r="E34">
        <f>ISERROR(C34)</f>
      </c>
    </row>
    <row r="35">
      <c r="A35" t="str">
        <v>H11</v>
      </c>
      <c r="B35">
        <v>9</v>
      </c>
      <c r="C35">
        <f>'dia10'!H11</f>
      </c>
      <c r="D35">
        <f>IF(ISERROR(C35),LEFT(B35&amp;"",1)="#",IF(ISNUMBER(C35),AND(ISNUMBER(B35),ABS(C35-B35)&lt;=0.000001*MAX(1,ABS(B35))),EXACT(C35&amp;"",B35&amp;"")))</f>
      </c>
      <c r="E35">
        <f>ISERROR(C35)</f>
      </c>
    </row>
    <row r="36">
      <c r="A36" t="str">
        <v>H12</v>
      </c>
      <c r="B36">
        <v>9</v>
      </c>
      <c r="C36">
        <f>'dia10'!H12</f>
      </c>
      <c r="D36">
        <f>IF(ISERROR(C36),LEFT(B36&amp;"",1)="#",IF(ISNUMBER(C36),AND(ISNUMBER(B36),ABS(C36-B36)&lt;=0.000001*MAX(1,ABS(B36))),EXACT(C36&amp;"",B36&amp;"")))</f>
      </c>
      <c r="E36">
        <f>ISERROR(C36)</f>
      </c>
    </row>
    <row r="37">
      <c r="A37" t="str">
        <v>H13</v>
      </c>
      <c r="B37">
        <v>4</v>
      </c>
      <c r="C37">
        <f>'dia10'!H13</f>
      </c>
      <c r="D37">
        <f>IF(ISERROR(C37),LEFT(B37&amp;"",1)="#",IF(ISNUMBER(C37),AND(ISNUMBER(B37),ABS(C37-B37)&lt;=0.000001*MAX(1,ABS(B37))),EXACT(C37&amp;"",B37&amp;"")))</f>
      </c>
      <c r="E37">
        <f>ISERROR(C37)</f>
      </c>
    </row>
    <row r="38">
      <c r="A38" t="str">
        <v>I2</v>
      </c>
      <c r="B38">
        <v>1.9</v>
      </c>
      <c r="C38">
        <f>'dia10'!I2</f>
      </c>
      <c r="D38">
        <f>IF(ISERROR(C38),LEFT(B38&amp;"",1)="#",IF(ISNUMBER(C38),AND(ISNUMBER(B38),ABS(C38-B38)&lt;=0.000001*MAX(1,ABS(B38))),EXACT(C38&amp;"",B38&amp;"")))</f>
      </c>
      <c r="E38">
        <f>ISERROR(C38)</f>
      </c>
    </row>
    <row r="39">
      <c r="A39" t="str">
        <v>I3</v>
      </c>
      <c r="B39">
        <v>1.1</v>
      </c>
      <c r="C39">
        <f>'dia10'!I3</f>
      </c>
      <c r="D39">
        <f>IF(ISERROR(C39),LEFT(B39&amp;"",1)="#",IF(ISNUMBER(C39),AND(ISNUMBER(B39),ABS(C39-B39)&lt;=0.000001*MAX(1,ABS(B39))),EXACT(C39&amp;"",B39&amp;"")))</f>
      </c>
      <c r="E39">
        <f>ISERROR(C39)</f>
      </c>
    </row>
    <row r="40">
      <c r="A40" t="str">
        <v>I4</v>
      </c>
      <c r="B40">
        <v>0.2</v>
      </c>
      <c r="C40">
        <f>'dia10'!I4</f>
      </c>
      <c r="D40">
        <f>IF(ISERROR(C40),LEFT(B40&amp;"",1)="#",IF(ISNUMBER(C40),AND(ISNUMBER(B40),ABS(C40-B40)&lt;=0.000001*MAX(1,ABS(B40))),EXACT(C40&amp;"",B40&amp;"")))</f>
      </c>
      <c r="E40">
        <f>ISERROR(C40)</f>
      </c>
    </row>
    <row r="41">
      <c r="A41" t="str">
        <v>I5</v>
      </c>
      <c r="B41">
        <v>0.6</v>
      </c>
      <c r="C41">
        <f>'dia10'!I5</f>
      </c>
      <c r="D41">
        <f>IF(ISERROR(C41),LEFT(B41&amp;"",1)="#",IF(ISNUMBER(C41),AND(ISNUMBER(B41),ABS(C41-B41)&lt;=0.000001*MAX(1,ABS(B41))),EXACT(C41&amp;"",B41&amp;"")))</f>
      </c>
      <c r="E41">
        <f>ISERROR(C41)</f>
      </c>
    </row>
    <row r="42">
      <c r="A42" t="str">
        <v>I6</v>
      </c>
      <c r="B42">
        <v>0.6</v>
      </c>
      <c r="C42">
        <f>'dia10'!I6</f>
      </c>
      <c r="D42">
        <f>IF(ISERROR(C42),LEFT(B42&amp;"",1)="#",IF(ISNUMBER(C42),AND(ISNUMBER(B42),ABS(C42-B42)&lt;=0.000001*MAX(1,ABS(B42))),EXACT(C42&amp;"",B42&amp;"")))</f>
      </c>
      <c r="E42">
        <f>ISERROR(C42)</f>
      </c>
    </row>
    <row r="43">
      <c r="A43" t="str">
        <v>I7</v>
      </c>
      <c r="B43">
        <v>0.5</v>
      </c>
      <c r="C43">
        <f>'dia10'!I7</f>
      </c>
      <c r="D43">
        <f>IF(ISERROR(C43),LEFT(B43&amp;"",1)="#",IF(ISNUMBER(C43),AND(ISNUMBER(B43),ABS(C43-B43)&lt;=0.000001*MAX(1,ABS(B43))),EXACT(C43&amp;"",B43&amp;"")))</f>
      </c>
      <c r="E43">
        <f>ISERROR(C43)</f>
      </c>
    </row>
    <row r="44">
      <c r="A44" t="str">
        <v>I8</v>
      </c>
      <c r="B44">
        <v>1.5</v>
      </c>
      <c r="C44">
        <f>'dia10'!I8</f>
      </c>
      <c r="D44">
        <f>IF(ISERROR(C44),LEFT(B44&amp;"",1)="#",IF(ISNUMBER(C44),AND(ISNUMBER(B44),ABS(C44-B44)&lt;=0.000001*MAX(1,ABS(B44))),EXACT(C44&amp;"",B44&amp;"")))</f>
      </c>
      <c r="E44">
        <f>ISERROR(C44)</f>
      </c>
    </row>
    <row r="45">
      <c r="A45" t="str">
        <v>I9</v>
      </c>
      <c r="B45">
        <v>0.8</v>
      </c>
      <c r="C45">
        <f>'dia10'!I9</f>
      </c>
      <c r="D45">
        <f>IF(ISERROR(C45),LEFT(B45&amp;"",1)="#",IF(ISNUMBER(C45),AND(ISNUMBER(B45),ABS(C45-B45)&lt;=0.000001*MAX(1,ABS(B45))),EXACT(C45&amp;"",B45&amp;"")))</f>
      </c>
      <c r="E45">
        <f>ISERROR(C45)</f>
      </c>
    </row>
    <row r="46">
      <c r="A46" t="str">
        <v>I10</v>
      </c>
      <c r="B46">
        <v>0.8</v>
      </c>
      <c r="C46">
        <f>'dia10'!I10</f>
      </c>
      <c r="D46">
        <f>IF(ISERROR(C46),LEFT(B46&amp;"",1)="#",IF(ISNUMBER(C46),AND(ISNUMBER(B46),ABS(C46-B46)&lt;=0.000001*MAX(1,ABS(B46))),EXACT(C46&amp;"",B46&amp;"")))</f>
      </c>
      <c r="E46">
        <f>ISERROR(C46)</f>
      </c>
    </row>
    <row r="47">
      <c r="A47" t="str">
        <v>I11</v>
      </c>
      <c r="B47">
        <v>1.4</v>
      </c>
      <c r="C47">
        <f>'dia10'!I11</f>
      </c>
      <c r="D47">
        <f>IF(ISERROR(C47),LEFT(B47&amp;"",1)="#",IF(ISNUMBER(C47),AND(ISNUMBER(B47),ABS(C47-B47)&lt;=0.000001*MAX(1,ABS(B47))),EXACT(C47&amp;"",B47&amp;"")))</f>
      </c>
      <c r="E47">
        <f>ISERROR(C47)</f>
      </c>
    </row>
    <row r="48">
      <c r="A48" t="str">
        <v>I12</v>
      </c>
      <c r="B48">
        <v>0.7</v>
      </c>
      <c r="C48">
        <f>'dia10'!I12</f>
      </c>
      <c r="D48">
        <f>IF(ISERROR(C48),LEFT(B48&amp;"",1)="#",IF(ISNUMBER(C48),AND(ISNUMBER(B48),ABS(C48-B48)&lt;=0.000001*MAX(1,ABS(B48))),EXACT(C48&amp;"",B48&amp;"")))</f>
      </c>
      <c r="E48">
        <f>ISERROR(C48)</f>
      </c>
    </row>
    <row r="49">
      <c r="A49" t="str">
        <v>I13</v>
      </c>
      <c r="B49">
        <v>1.1</v>
      </c>
      <c r="C49">
        <f>'dia10'!I13</f>
      </c>
      <c r="D49">
        <f>IF(ISERROR(C49),LEFT(B49&amp;"",1)="#",IF(ISNUMBER(C49),AND(ISNUMBER(B49),ABS(C49-B49)&lt;=0.000001*MAX(1,ABS(B49))),EXACT(C49&amp;"",B49&amp;"")))</f>
      </c>
      <c r="E49">
        <f>ISERROR(C49)</f>
      </c>
    </row>
    <row r="50">
      <c r="A50" t="str">
        <v>J2</v>
      </c>
      <c r="B50" t="str">
        <v>CAO</v>
      </c>
      <c r="C50">
        <f>'dia10'!J2</f>
      </c>
      <c r="D50">
        <f>IF(ISERROR(C50),LEFT(B50&amp;"",1)="#",IF(ISNUMBER(C50),AND(ISNUMBER(B50),ABS(C50-B50)&lt;=0.000001*MAX(1,ABS(B50))),EXACT(C50&amp;"",B50&amp;"")))</f>
      </c>
      <c r="E50">
        <f>ISERROR(C50)</f>
      </c>
    </row>
    <row r="51">
      <c r="A51" t="str">
        <v>J3</v>
      </c>
      <c r="B51" t="str">
        <v>TRUNG BINH</v>
      </c>
      <c r="C51">
        <f>'dia10'!J3</f>
      </c>
      <c r="D51">
        <f>IF(ISERROR(C51),LEFT(B51&amp;"",1)="#",IF(ISNUMBER(C51),AND(ISNUMBER(B51),ABS(C51-B51)&lt;=0.000001*MAX(1,ABS(B51))),EXACT(C51&amp;"",B51&amp;"")))</f>
      </c>
      <c r="E51">
        <f>ISERROR(C51)</f>
      </c>
    </row>
    <row r="52">
      <c r="A52" t="str">
        <v>J4</v>
      </c>
      <c r="B52" t="str">
        <v>THAP</v>
      </c>
      <c r="C52">
        <f>'dia10'!J4</f>
      </c>
      <c r="D52">
        <f>IF(ISERROR(C52),LEFT(B52&amp;"",1)="#",IF(ISNUMBER(C52),AND(ISNUMBER(B52),ABS(C52-B52)&lt;=0.000001*MAX(1,ABS(B52))),EXACT(C52&amp;"",B52&amp;"")))</f>
      </c>
      <c r="E52">
        <f>ISERROR(C52)</f>
      </c>
    </row>
    <row r="53">
      <c r="A53" t="str">
        <v>J5</v>
      </c>
      <c r="B53" t="str">
        <v>THAP</v>
      </c>
      <c r="C53">
        <f>'dia10'!J5</f>
      </c>
      <c r="D53">
        <f>IF(ISERROR(C53),LEFT(B53&amp;"",1)="#",IF(ISNUMBER(C53),AND(ISNUMBER(B53),ABS(C53-B53)&lt;=0.000001*MAX(1,ABS(B53))),EXACT(C53&amp;"",B53&amp;"")))</f>
      </c>
      <c r="E53">
        <f>ISERROR(C53)</f>
      </c>
    </row>
    <row r="54">
      <c r="A54" t="str">
        <v>J6</v>
      </c>
      <c r="B54" t="str">
        <v>THAP</v>
      </c>
      <c r="C54">
        <f>'dia10'!J6</f>
      </c>
      <c r="D54">
        <f>IF(ISERROR(C54),LEFT(B54&amp;"",1)="#",IF(ISNUMBER(C54),AND(ISNUMBER(B54),ABS(C54-B54)&lt;=0.000001*MAX(1,ABS(B54))),EXACT(C54&amp;"",B54&amp;"")))</f>
      </c>
      <c r="E54">
        <f>ISERROR(C54)</f>
      </c>
    </row>
    <row r="55">
      <c r="A55" t="str">
        <v>J7</v>
      </c>
      <c r="B55" t="str">
        <v>THAP</v>
      </c>
      <c r="C55">
        <f>'dia10'!J7</f>
      </c>
      <c r="D55">
        <f>IF(ISERROR(C55),LEFT(B55&amp;"",1)="#",IF(ISNUMBER(C55),AND(ISNUMBER(B55),ABS(C55-B55)&lt;=0.000001*MAX(1,ABS(B55))),EXACT(C55&amp;"",B55&amp;"")))</f>
      </c>
      <c r="E55">
        <f>ISERROR(C55)</f>
      </c>
    </row>
    <row r="56">
      <c r="A56" t="str">
        <v>J8</v>
      </c>
      <c r="B56" t="str">
        <v>CAO</v>
      </c>
      <c r="C56">
        <f>'dia10'!J8</f>
      </c>
      <c r="D56">
        <f>IF(ISERROR(C56),LEFT(B56&amp;"",1)="#",IF(ISNUMBER(C56),AND(ISNUMBER(B56),ABS(C56-B56)&lt;=0.000001*MAX(1,ABS(B56))),EXACT(C56&amp;"",B56&amp;"")))</f>
      </c>
      <c r="E56">
        <f>ISERROR(C56)</f>
      </c>
    </row>
    <row r="57">
      <c r="A57" t="str">
        <v>J9</v>
      </c>
      <c r="B57" t="str">
        <v>THAP</v>
      </c>
      <c r="C57">
        <f>'dia10'!J9</f>
      </c>
      <c r="D57">
        <f>IF(ISERROR(C57),LEFT(B57&amp;"",1)="#",IF(ISNUMBER(C57),AND(ISNUMBER(B57),ABS(C57-B57)&lt;=0.000001*MAX(1,ABS(B57))),EXACT(C57&amp;"",B57&amp;"")))</f>
      </c>
      <c r="E57">
        <f>ISERROR(C57)</f>
      </c>
    </row>
    <row r="58">
      <c r="A58" t="str">
        <v>J10</v>
      </c>
      <c r="B58" t="str">
        <v>THAP</v>
      </c>
      <c r="C58">
        <f>'dia10'!J10</f>
      </c>
      <c r="D58">
        <f>IF(ISERROR(C58),LEFT(B58&amp;"",1)="#",IF(ISNUMBER(C58),AND(ISNUMBER(B58),ABS(C58-B58)&lt;=0.000001*MAX(1,ABS(B58))),EXACT(C58&amp;"",B58&amp;"")))</f>
      </c>
      <c r="E58">
        <f>ISERROR(C58)</f>
      </c>
    </row>
    <row r="59">
      <c r="A59" t="str">
        <v>J11</v>
      </c>
      <c r="B59" t="str">
        <v>TRUNG BINH</v>
      </c>
      <c r="C59">
        <f>'dia10'!J11</f>
      </c>
      <c r="D59">
        <f>IF(ISERROR(C59),LEFT(B59&amp;"",1)="#",IF(ISNUMBER(C59),AND(ISNUMBER(B59),ABS(C59-B59)&lt;=0.000001*MAX(1,ABS(B59))),EXACT(C59&amp;"",B59&amp;"")))</f>
      </c>
      <c r="E59">
        <f>ISERROR(C59)</f>
      </c>
    </row>
    <row r="60">
      <c r="A60" t="str">
        <v>J12</v>
      </c>
      <c r="B60" t="str">
        <v>THAP</v>
      </c>
      <c r="C60">
        <f>'dia10'!J12</f>
      </c>
      <c r="D60">
        <f>IF(ISERROR(C60),LEFT(B60&amp;"",1)="#",IF(ISNUMBER(C60),AND(ISNUMBER(B60),ABS(C60-B60)&lt;=0.000001*MAX(1,ABS(B60))),EXACT(C60&amp;"",B60&amp;"")))</f>
      </c>
      <c r="E60">
        <f>ISERROR(C60)</f>
      </c>
    </row>
    <row r="61">
      <c r="A61" t="str">
        <v>J13</v>
      </c>
      <c r="B61" t="str">
        <v>TRUNG BINH</v>
      </c>
      <c r="C61">
        <f>'dia10'!J13</f>
      </c>
      <c r="D61">
        <f>IF(ISERROR(C61),LEFT(B61&amp;"",1)="#",IF(ISNUMBER(C61),AND(ISNUMBER(B61),ABS(C61-B61)&lt;=0.000001*MAX(1,ABS(B61))),EXACT(C61&amp;"",B61&amp;"")))</f>
      </c>
      <c r="E61">
        <f>ISERROR(C61)</f>
      </c>
    </row>
    <row r="62">
      <c r="A62" t="str">
        <v>Z2</v>
      </c>
      <c r="B62" t="str">
        <v>V02</v>
      </c>
      <c r="C62">
        <f>'dia10'!Z2</f>
      </c>
      <c r="D62">
        <f>IF(ISERROR(C62),LEFT(B62&amp;"",1)="#",IF(ISNUMBER(C62),AND(ISNUMBER(B62),ABS(C62-B62)&lt;=0.000001*MAX(1,ABS(B62))),EXACT(C62&amp;"",B62&amp;"")))</f>
      </c>
      <c r="E62">
        <f>ISERROR(C62)</f>
      </c>
    </row>
    <row r="63">
      <c r="A63" t="str">
        <v>Z3</v>
      </c>
      <c r="B63">
        <v>13963</v>
      </c>
      <c r="C63">
        <f>'dia10'!Z3</f>
      </c>
      <c r="D63">
        <f>IF(ISERROR(C63),LEFT(B63&amp;"",1)="#",IF(ISNUMBER(C63),AND(ISNUMBER(B63),ABS(C63-B63)&lt;=0.000001*MAX(1,ABS(B63))),EXACT(C63&amp;"",B63&amp;"")))</f>
      </c>
      <c r="E63">
        <f>ISERROR(C63)</f>
      </c>
    </row>
    <row r="64">
      <c r="A64" t="str">
        <v>Z4</v>
      </c>
      <c r="B64">
        <v>3</v>
      </c>
      <c r="C64">
        <f>'dia10'!Z4</f>
      </c>
      <c r="D64">
        <f>IF(ISERROR(C64),LEFT(B64&amp;"",1)="#",IF(ISNUMBER(C64),AND(ISNUMBER(B64),ABS(C64-B64)&lt;=0.000001*MAX(1,ABS(B64))),EXACT(C64&amp;"",B64&amp;"")))</f>
      </c>
      <c r="E64">
        <f>ISERROR(C64)</f>
      </c>
    </row>
    <row r="65">
      <c r="A65" t="str">
        <v>Z5</v>
      </c>
      <c r="B65">
        <v>2240.5666666666666</v>
      </c>
      <c r="C65">
        <f>'dia10'!Z5</f>
      </c>
      <c r="D65">
        <f>IF(ISERROR(C65),LEFT(B65&amp;"",1)="#",IF(ISNUMBER(C65),AND(ISNUMBER(B65),ABS(C65-B65)&lt;=0.000001*MAX(1,ABS(B65))),EXACT(C65&amp;"",B65&amp;"")))</f>
      </c>
      <c r="E65">
        <f>ISERROR(C65)</f>
      </c>
    </row>
    <row r="66">
      <c r="A66" t="str">
        <v>Z6</v>
      </c>
      <c r="B66">
        <v>1.9</v>
      </c>
      <c r="C66">
        <f>'dia10'!Z6</f>
      </c>
      <c r="D66">
        <f>IF(ISERROR(C66),LEFT(B66&amp;"",1)="#",IF(ISNUMBER(C66),AND(ISNUMBER(B66),ABS(C66-B66)&lt;=0.000001*MAX(1,ABS(B66))),EXACT(C66&amp;"",B66&amp;"")))</f>
      </c>
      <c r="E66">
        <f>ISERROR(C66)</f>
      </c>
    </row>
    <row r="67">
      <c r="A67" t="str">
        <v>Z7</v>
      </c>
      <c r="B67">
        <v>1032.1</v>
      </c>
      <c r="C67">
        <f>'dia10'!Z7</f>
      </c>
      <c r="D67">
        <f>IF(ISERROR(C67),LEFT(B67&amp;"",1)="#",IF(ISNUMBER(C67),AND(ISNUMBER(B67),ABS(C67-B67)&lt;=0.000001*MAX(1,ABS(B67))),EXACT(C67&amp;"",B67&amp;"")))</f>
      </c>
      <c r="E67">
        <f>ISERROR(C67)</f>
      </c>
    </row>
    <row r="68">
      <c r="A68" t="str">
        <v>Z8</v>
      </c>
      <c r="B68">
        <v>3234.6</v>
      </c>
      <c r="C68">
        <f>'dia10'!Z8</f>
      </c>
      <c r="D68">
        <f>IF(ISERROR(C68),LEFT(B68&amp;"",1)="#",IF(ISNUMBER(C68),AND(ISNUMBER(B68),ABS(C68-B68)&lt;=0.000001*MAX(1,ABS(B68))),EXACT(C68&amp;"",B68&amp;"")))</f>
      </c>
      <c r="E68">
        <f>ISERROR(C68)</f>
      </c>
    </row>
    <row r="69">
      <c r="A69" t="str">
        <v>Z9</v>
      </c>
      <c r="B69">
        <v>0.483</v>
      </c>
      <c r="C69">
        <f>'dia10'!Z9</f>
      </c>
      <c r="D69">
        <f>IF(ISERROR(C69),LEFT(B69&amp;"",1)="#",IF(ISNUMBER(C69),AND(ISNUMBER(B69),ABS(C69-B69)&lt;=0.000001*MAX(1,ABS(B69))),EXACT(C69&amp;"",B69&amp;"")))</f>
      </c>
      <c r="E69">
        <f>ISERROR(C69)</f>
      </c>
    </row>
    <row r="70">
      <c r="A70" t="str">
        <v>Z10</v>
      </c>
      <c r="B70">
        <v>13963</v>
      </c>
      <c r="C70">
        <f>'dia10'!Z10</f>
      </c>
      <c r="D70">
        <f>IF(ISERROR(C70),LEFT(B70&amp;"",1)="#",IF(ISNUMBER(C70),AND(ISNUMBER(B70),ABS(C70-B70)&lt;=0.000001*MAX(1,ABS(B70))),EXACT(C70&amp;"",B70&amp;"")))</f>
      </c>
      <c r="E70">
        <f>ISERROR(C70)</f>
      </c>
    </row>
    <row r="71">
      <c r="A71" t="str">
        <v>Z11</v>
      </c>
      <c r="B71">
        <v>2</v>
      </c>
      <c r="C71">
        <f>'dia10'!Z11</f>
      </c>
      <c r="D71">
        <f>IF(ISERROR(C71),LEFT(B71&amp;"",1)="#",IF(ISNUMBER(C71),AND(ISNUMBER(B71),ABS(C71-B71)&lt;=0.000001*MAX(1,ABS(B71))),EXACT(C71&amp;"",B71&amp;"")))</f>
      </c>
      <c r="E71">
        <f>ISERROR(C71)</f>
      </c>
    </row>
    <row r="72">
      <c r="A72" t="str">
        <v>Z12</v>
      </c>
      <c r="B72">
        <v>13963</v>
      </c>
      <c r="C72">
        <f>'dia10'!Z12</f>
      </c>
      <c r="D72">
        <f>IF(ISERROR(C72),LEFT(B72&amp;"",1)="#",IF(ISNUMBER(C72),AND(ISNUMBER(B72),ABS(C72-B72)&lt;=0.000001*MAX(1,ABS(B72))),EXACT(C72&amp;"",B72&amp;"")))</f>
      </c>
      <c r="E72">
        <f>ISERROR(C72)</f>
      </c>
    </row>
    <row r="73">
      <c r="A73" t="str">
        <v>Z13</v>
      </c>
      <c r="B73">
        <v>275050018</v>
      </c>
      <c r="C73">
        <f>'dia10'!Z13</f>
      </c>
      <c r="D73">
        <f>IF(ISERROR(C73),LEFT(B73&amp;"",1)="#",IF(ISNUMBER(C73),AND(ISNUMBER(B73),ABS(C73-B73)&lt;=0.000001*MAX(1,ABS(B73))),EXACT(C73&amp;"",B73&amp;"")))</f>
      </c>
      <c r="E73">
        <f>ISERROR(C73)</f>
      </c>
    </row>
  </sheetData>
  <ignoredErrors>
    <ignoredError numberStoredAsText="1" sqref="A1:E73"/>
  </ignoredErrors>
</worksheet>
</file>

<file path=xl/worksheets/sheet2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MaPU</v>
      </c>
      <c r="B1" t="str">
        <v>KimLoai</v>
      </c>
      <c r="C1" t="str">
        <v>HoaTri</v>
      </c>
      <c r="D1" t="str">
        <v>Khoi</v>
      </c>
      <c r="E1" t="str">
        <v>HieuSuat</v>
      </c>
      <c r="F1" t="str">
        <v>M</v>
      </c>
      <c r="G1" t="str">
        <v>SoMol</v>
      </c>
      <c r="H1" t="str">
        <v>VH2LT</v>
      </c>
      <c r="I1" t="str">
        <v>VH2TT</v>
      </c>
      <c r="R1" t="str">
        <v>KimLoai</v>
      </c>
      <c r="S1" t="str">
        <v>KhoiLuongMol</v>
      </c>
      <c r="W1" t="str">
        <v>KimLoai</v>
      </c>
      <c r="Y1" t="str">
        <v>TongHop</v>
      </c>
      <c r="Z1" t="str">
        <v>KetQua</v>
      </c>
    </row>
    <row r="2">
      <c r="A2" t="str">
        <v>PU01</v>
      </c>
      <c r="B2" t="str">
        <v>Mg</v>
      </c>
      <c r="C2">
        <v>2</v>
      </c>
      <c r="D2">
        <v>28</v>
      </c>
      <c r="E2">
        <v>90</v>
      </c>
      <c r="F2">
        <f>VLOOKUP(B2,$R$2:$S$5,2,FALSE)</f>
        <v>24</v>
      </c>
      <c r="G2">
        <f>ROUND(D2/F2,4)</f>
        <v>1.1667</v>
      </c>
      <c r="H2">
        <f>ROUND(D2/F2*C2/2*24.79,3)</f>
        <v>28.922</v>
      </c>
      <c r="I2">
        <f>ROUND(D2/F2*C2/2*24.79*E2/100,3)</f>
        <v>26.03</v>
      </c>
      <c r="R2" t="str">
        <v>Mg</v>
      </c>
      <c r="S2">
        <v>24</v>
      </c>
      <c r="W2" t="str">
        <v>Zn</v>
      </c>
      <c r="Y2" t="str">
        <v>Ma MaPU co VH2TT lon nhat</v>
      </c>
      <c r="Z2" t="str">
        <f>INDEX(A2:A13,MATCH(MAX(I2:I13),I2:I13,0))</f>
        <v>PU12</v>
      </c>
    </row>
    <row r="3">
      <c r="A3" t="str">
        <v>PU02</v>
      </c>
      <c r="B3" t="str">
        <v>Zn</v>
      </c>
      <c r="C3">
        <v>2</v>
      </c>
      <c r="D3">
        <v>20</v>
      </c>
      <c r="E3">
        <v>80</v>
      </c>
      <c r="F3">
        <f>VLOOKUP(B3,$R$2:$S$5,2,FALSE)</f>
        <v>65</v>
      </c>
      <c r="G3">
        <f>ROUND(D3/F3,4)</f>
        <v>0.3077</v>
      </c>
      <c r="H3">
        <f>ROUND(D3/F3*C3/2*24.79,3)</f>
        <v>7.628</v>
      </c>
      <c r="I3">
        <f>ROUND(D3/F3*C3/2*24.79*E3/100,3)</f>
        <v>6.102</v>
      </c>
      <c r="R3" t="str">
        <v>Zn</v>
      </c>
      <c r="S3">
        <v>65</v>
      </c>
      <c r="Y3" t="str">
        <v>Tong VH2TT khi KimLoai = Zn</v>
      </c>
      <c r="Z3">
        <f>SUMIF(B2:B13,"Zn",I2:I13)</f>
        <v>27.497</v>
      </c>
    </row>
    <row r="4">
      <c r="A4" t="str">
        <v>PU03</v>
      </c>
      <c r="B4" t="str">
        <v>Fe</v>
      </c>
      <c r="C4">
        <v>2</v>
      </c>
      <c r="D4">
        <v>9</v>
      </c>
      <c r="E4">
        <v>100</v>
      </c>
      <c r="F4">
        <f>VLOOKUP(B4,$R$2:$S$5,2,FALSE)</f>
        <v>56</v>
      </c>
      <c r="G4">
        <f>ROUND(D4/F4,4)</f>
        <v>0.1607</v>
      </c>
      <c r="H4">
        <f>ROUND(D4/F4*C4/2*24.79,3)</f>
        <v>3.984</v>
      </c>
      <c r="I4">
        <f>ROUND(D4/F4*C4/2*24.79*E4/100,3)</f>
        <v>3.984</v>
      </c>
      <c r="R4" t="str">
        <v>Fe</v>
      </c>
      <c r="S4">
        <v>56</v>
      </c>
      <c r="Y4" t="str">
        <v>So dong KimLoai = Al, Khoi &gt;=20</v>
      </c>
      <c r="Z4">
        <f>COUNTIFS(B2:B13,"Al",D2:D13,"&gt;=20")</f>
        <v>4</v>
      </c>
    </row>
    <row r="5">
      <c r="A5" t="str">
        <v>PU04</v>
      </c>
      <c r="B5" t="str">
        <v>Al</v>
      </c>
      <c r="C5">
        <v>3</v>
      </c>
      <c r="D5">
        <v>2</v>
      </c>
      <c r="E5">
        <v>100</v>
      </c>
      <c r="F5">
        <f>VLOOKUP(B5,$R$2:$S$5,2,FALSE)</f>
        <v>27</v>
      </c>
      <c r="G5">
        <f>ROUND(D5/F5,4)</f>
        <v>0.0741</v>
      </c>
      <c r="H5">
        <f>ROUND(D5/F5*C5/2*24.79,3)</f>
        <v>2.754</v>
      </c>
      <c r="I5">
        <f>ROUND(D5/F5*C5/2*24.79*E5/100,3)</f>
        <v>2.754</v>
      </c>
      <c r="R5" t="str">
        <v>Al</v>
      </c>
      <c r="S5">
        <v>27</v>
      </c>
      <c r="Y5" t="str">
        <v>VH2LT trung binh khi KimLoai = Fe</v>
      </c>
      <c r="Z5">
        <f>AVERAGEIF(B2:B13,"Fe",H2:H13)</f>
        <v>3.984</v>
      </c>
    </row>
    <row r="6">
      <c r="A6" t="str">
        <v>PU05</v>
      </c>
      <c r="B6" t="str">
        <v>Zn</v>
      </c>
      <c r="C6">
        <v>2</v>
      </c>
      <c r="D6">
        <v>30</v>
      </c>
      <c r="E6">
        <v>95</v>
      </c>
      <c r="F6">
        <f>VLOOKUP(B6,$R$2:$S$5,2,FALSE)</f>
        <v>65</v>
      </c>
      <c r="G6">
        <f>ROUND(D6/F6,4)</f>
        <v>0.4615</v>
      </c>
      <c r="H6">
        <f>ROUND(D6/F6*C6/2*24.79,3)</f>
        <v>11.442</v>
      </c>
      <c r="I6">
        <f>ROUND(D6/F6*C6/2*24.79*E6/100,3)</f>
        <v>10.869</v>
      </c>
      <c r="Y6" t="str">
        <v>VH2TT lon nhat khi KimLoai = Mg</v>
      </c>
      <c r="Z6">
        <f>_xlfn.MAXIFS(I2:I13,B2:B13,"Mg")</f>
        <v>26.03</v>
      </c>
    </row>
    <row r="7">
      <c r="A7" t="str">
        <v>PU06</v>
      </c>
      <c r="B7" t="str">
        <v>Zn</v>
      </c>
      <c r="C7">
        <v>2</v>
      </c>
      <c r="D7">
        <v>15</v>
      </c>
      <c r="E7">
        <v>100</v>
      </c>
      <c r="F7">
        <f>VLOOKUP(B7,$R$2:$S$5,2,FALSE)</f>
        <v>65</v>
      </c>
      <c r="G7">
        <f>ROUND(D7/F7,4)</f>
        <v>0.2308</v>
      </c>
      <c r="H7">
        <f>ROUND(D7/F7*C7/2*24.79,3)</f>
        <v>5.721</v>
      </c>
      <c r="I7">
        <f>ROUND(D7/F7*C7/2*24.79*E7/100,3)</f>
        <v>5.721</v>
      </c>
      <c r="Y7" t="str">
        <v>VH2TT trung vi</v>
      </c>
      <c r="Z7">
        <f>MEDIAN(I2:I13)</f>
        <v>10.0825</v>
      </c>
    </row>
    <row r="8">
      <c r="A8" t="str">
        <v>PU07</v>
      </c>
      <c r="B8" t="str">
        <v>Al</v>
      </c>
      <c r="C8">
        <v>3</v>
      </c>
      <c r="D8">
        <v>34</v>
      </c>
      <c r="E8">
        <v>85</v>
      </c>
      <c r="F8">
        <f>VLOOKUP(B8,$R$2:$S$5,2,FALSE)</f>
        <v>27</v>
      </c>
      <c r="G8">
        <f>ROUND(D8/F8,4)</f>
        <v>1.2593</v>
      </c>
      <c r="H8">
        <f>ROUND(D8/F8*C8/2*24.79,3)</f>
        <v>46.826</v>
      </c>
      <c r="I8">
        <f>ROUND(D8/F8*C8/2*24.79*E8/100,3)</f>
        <v>39.802</v>
      </c>
      <c r="Y8" t="str">
        <v>VH2TT lon thu hai</v>
      </c>
      <c r="Z8">
        <f>LARGE(I2:I13,2)</f>
        <v>43.314</v>
      </c>
    </row>
    <row r="9">
      <c r="A9" t="str">
        <v>PU08</v>
      </c>
      <c r="B9" t="str">
        <v>Al</v>
      </c>
      <c r="C9">
        <v>3</v>
      </c>
      <c r="D9">
        <v>35</v>
      </c>
      <c r="E9">
        <v>85</v>
      </c>
      <c r="F9">
        <f>VLOOKUP(B9,$R$2:$S$5,2,FALSE)</f>
        <v>27</v>
      </c>
      <c r="G9">
        <f>ROUND(D9/F9,4)</f>
        <v>1.2963</v>
      </c>
      <c r="H9">
        <f>ROUND(D9/F9*C9/2*24.79,3)</f>
        <v>48.203</v>
      </c>
      <c r="I9">
        <f>ROUND(D9/F9*C9/2*24.79*E9/100,3)</f>
        <v>40.972</v>
      </c>
      <c r="Y9" t="str">
        <v>Do lech chuan SoMol</v>
      </c>
      <c r="Z9">
        <f>ROUND(STDEV(G2:G13),3)</f>
        <v>0.554</v>
      </c>
    </row>
    <row r="10">
      <c r="A10" t="str">
        <v>PU09</v>
      </c>
      <c r="B10" t="str">
        <v>Al</v>
      </c>
      <c r="C10">
        <v>3</v>
      </c>
      <c r="D10">
        <v>37</v>
      </c>
      <c r="E10">
        <v>85</v>
      </c>
      <c r="F10">
        <f>VLOOKUP(B10,$R$2:$S$5,2,FALSE)</f>
        <v>27</v>
      </c>
      <c r="G10">
        <f>ROUND(D10/F10,4)</f>
        <v>1.3704</v>
      </c>
      <c r="H10">
        <f>ROUND(D10/F10*C10/2*24.79,3)</f>
        <v>50.957</v>
      </c>
      <c r="I10">
        <f>ROUND(D10/F10*C10/2*24.79*E10/100,3)</f>
        <v>43.314</v>
      </c>
      <c r="Y10" t="str">
        <v>Tong VH2TT theo tieu chi W1:W2</v>
      </c>
      <c r="Z10">
        <f>DSUM(A1:I13,"VH2TT",W1:W2)</f>
        <v>27.497</v>
      </c>
    </row>
    <row r="11">
      <c r="A11" t="str">
        <v>PU10</v>
      </c>
      <c r="B11" t="str">
        <v>Zn</v>
      </c>
      <c r="C11">
        <v>2</v>
      </c>
      <c r="D11">
        <v>14</v>
      </c>
      <c r="E11">
        <v>90</v>
      </c>
      <c r="F11">
        <f>VLOOKUP(B11,$R$2:$S$5,2,FALSE)</f>
        <v>65</v>
      </c>
      <c r="G11">
        <f>ROUND(D11/F11,4)</f>
        <v>0.2154</v>
      </c>
      <c r="H11">
        <f>ROUND(D11/F11*C11/2*24.79,3)</f>
        <v>5.339</v>
      </c>
      <c r="I11">
        <f>ROUND(D11/F11*C11/2*24.79*E11/100,3)</f>
        <v>4.805</v>
      </c>
      <c r="Y11" t="str">
        <v>So dong theo tieu chi W1:W2</v>
      </c>
      <c r="Z11">
        <f>DCOUNT(A1:I13,"VH2TT",W1:W2)</f>
        <v>4</v>
      </c>
    </row>
    <row r="12">
      <c r="A12" t="str">
        <v>PU11</v>
      </c>
      <c r="B12" t="str">
        <v>Mg</v>
      </c>
      <c r="C12">
        <v>2</v>
      </c>
      <c r="D12">
        <v>10</v>
      </c>
      <c r="E12">
        <v>90</v>
      </c>
      <c r="F12">
        <f>VLOOKUP(B12,$R$2:$S$5,2,FALSE)</f>
        <v>24</v>
      </c>
      <c r="G12">
        <f>ROUND(D12/F12,4)</f>
        <v>0.4167</v>
      </c>
      <c r="H12">
        <f>ROUND(D12/F12*C12/2*24.79,3)</f>
        <v>10.329</v>
      </c>
      <c r="I12">
        <f>ROUND(D12/F12*C12/2*24.79*E12/100,3)</f>
        <v>9.296</v>
      </c>
      <c r="Y12" t="str">
        <v>Tong VH2TT khi KimLoai = Zn (SUMPRODUCT)</v>
      </c>
      <c r="Z12">
        <f>SUMPRODUCT((B2:B13="Zn")*I2:I13)</f>
        <v>27.497</v>
      </c>
    </row>
    <row r="13">
      <c r="A13" t="str">
        <v>PU12</v>
      </c>
      <c r="B13" t="str">
        <v>Al</v>
      </c>
      <c r="C13">
        <v>3</v>
      </c>
      <c r="D13">
        <v>40</v>
      </c>
      <c r="E13">
        <v>95</v>
      </c>
      <c r="F13">
        <f>VLOOKUP(B13,$R$2:$S$5,2,FALSE)</f>
        <v>27</v>
      </c>
      <c r="G13">
        <f>ROUND(D13/F13,4)</f>
        <v>1.4815</v>
      </c>
      <c r="H13">
        <f>ROUND(D13/F13*C13/2*24.79,3)</f>
        <v>55.089</v>
      </c>
      <c r="I13">
        <f>ROUND(D13/F13*C13/2*24.79*E13/100,3)</f>
        <v>52.334</v>
      </c>
      <c r="Y13" t="str">
        <v>Tong Khoi x HieuSuat</v>
      </c>
      <c r="Z13">
        <f>SUMPRODUCT(D2:D13,E2:E13)</f>
        <v>24540</v>
      </c>
    </row>
  </sheetData>
  <ignoredErrors>
    <ignoredError numberStoredAsText="1" sqref="A1:Z13"/>
  </ignoredErrors>
</worksheet>
</file>

<file path=xl/worksheets/sheet27.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24</v>
      </c>
      <c r="C2">
        <f>'hoa10'!F2</f>
      </c>
      <c r="D2">
        <f>IF(ISERROR(C2),LEFT(B2&amp;"",1)="#",IF(ISNUMBER(C2),AND(ISNUMBER(B2),ABS(C2-B2)&lt;=0.000001*MAX(1,ABS(B2))),EXACT(C2&amp;"",B2&amp;"")))</f>
      </c>
      <c r="E2">
        <f>ISERROR(C2)</f>
      </c>
    </row>
    <row r="3">
      <c r="A3" t="str">
        <v>F3</v>
      </c>
      <c r="B3">
        <v>65</v>
      </c>
      <c r="C3">
        <f>'hoa10'!F3</f>
      </c>
      <c r="D3">
        <f>IF(ISERROR(C3),LEFT(B3&amp;"",1)="#",IF(ISNUMBER(C3),AND(ISNUMBER(B3),ABS(C3-B3)&lt;=0.000001*MAX(1,ABS(B3))),EXACT(C3&amp;"",B3&amp;"")))</f>
      </c>
      <c r="E3">
        <f>ISERROR(C3)</f>
      </c>
    </row>
    <row r="4">
      <c r="A4" t="str">
        <v>F4</v>
      </c>
      <c r="B4">
        <v>56</v>
      </c>
      <c r="C4">
        <f>'hoa10'!F4</f>
      </c>
      <c r="D4">
        <f>IF(ISERROR(C4),LEFT(B4&amp;"",1)="#",IF(ISNUMBER(C4),AND(ISNUMBER(B4),ABS(C4-B4)&lt;=0.000001*MAX(1,ABS(B4))),EXACT(C4&amp;"",B4&amp;"")))</f>
      </c>
      <c r="E4">
        <f>ISERROR(C4)</f>
      </c>
    </row>
    <row r="5">
      <c r="A5" t="str">
        <v>F5</v>
      </c>
      <c r="B5">
        <v>27</v>
      </c>
      <c r="C5">
        <f>'hoa10'!F5</f>
      </c>
      <c r="D5">
        <f>IF(ISERROR(C5),LEFT(B5&amp;"",1)="#",IF(ISNUMBER(C5),AND(ISNUMBER(B5),ABS(C5-B5)&lt;=0.000001*MAX(1,ABS(B5))),EXACT(C5&amp;"",B5&amp;"")))</f>
      </c>
      <c r="E5">
        <f>ISERROR(C5)</f>
      </c>
    </row>
    <row r="6">
      <c r="A6" t="str">
        <v>F6</v>
      </c>
      <c r="B6">
        <v>65</v>
      </c>
      <c r="C6">
        <f>'hoa10'!F6</f>
      </c>
      <c r="D6">
        <f>IF(ISERROR(C6),LEFT(B6&amp;"",1)="#",IF(ISNUMBER(C6),AND(ISNUMBER(B6),ABS(C6-B6)&lt;=0.000001*MAX(1,ABS(B6))),EXACT(C6&amp;"",B6&amp;"")))</f>
      </c>
      <c r="E6">
        <f>ISERROR(C6)</f>
      </c>
    </row>
    <row r="7">
      <c r="A7" t="str">
        <v>F7</v>
      </c>
      <c r="B7">
        <v>65</v>
      </c>
      <c r="C7">
        <f>'hoa10'!F7</f>
      </c>
      <c r="D7">
        <f>IF(ISERROR(C7),LEFT(B7&amp;"",1)="#",IF(ISNUMBER(C7),AND(ISNUMBER(B7),ABS(C7-B7)&lt;=0.000001*MAX(1,ABS(B7))),EXACT(C7&amp;"",B7&amp;"")))</f>
      </c>
      <c r="E7">
        <f>ISERROR(C7)</f>
      </c>
    </row>
    <row r="8">
      <c r="A8" t="str">
        <v>F8</v>
      </c>
      <c r="B8">
        <v>27</v>
      </c>
      <c r="C8">
        <f>'hoa10'!F8</f>
      </c>
      <c r="D8">
        <f>IF(ISERROR(C8),LEFT(B8&amp;"",1)="#",IF(ISNUMBER(C8),AND(ISNUMBER(B8),ABS(C8-B8)&lt;=0.000001*MAX(1,ABS(B8))),EXACT(C8&amp;"",B8&amp;"")))</f>
      </c>
      <c r="E8">
        <f>ISERROR(C8)</f>
      </c>
    </row>
    <row r="9">
      <c r="A9" t="str">
        <v>F9</v>
      </c>
      <c r="B9">
        <v>27</v>
      </c>
      <c r="C9">
        <f>'hoa10'!F9</f>
      </c>
      <c r="D9">
        <f>IF(ISERROR(C9),LEFT(B9&amp;"",1)="#",IF(ISNUMBER(C9),AND(ISNUMBER(B9),ABS(C9-B9)&lt;=0.000001*MAX(1,ABS(B9))),EXACT(C9&amp;"",B9&amp;"")))</f>
      </c>
      <c r="E9">
        <f>ISERROR(C9)</f>
      </c>
    </row>
    <row r="10">
      <c r="A10" t="str">
        <v>F10</v>
      </c>
      <c r="B10">
        <v>27</v>
      </c>
      <c r="C10">
        <f>'hoa10'!F10</f>
      </c>
      <c r="D10">
        <f>IF(ISERROR(C10),LEFT(B10&amp;"",1)="#",IF(ISNUMBER(C10),AND(ISNUMBER(B10),ABS(C10-B10)&lt;=0.000001*MAX(1,ABS(B10))),EXACT(C10&amp;"",B10&amp;"")))</f>
      </c>
      <c r="E10">
        <f>ISERROR(C10)</f>
      </c>
    </row>
    <row r="11">
      <c r="A11" t="str">
        <v>F11</v>
      </c>
      <c r="B11">
        <v>65</v>
      </c>
      <c r="C11">
        <f>'hoa10'!F11</f>
      </c>
      <c r="D11">
        <f>IF(ISERROR(C11),LEFT(B11&amp;"",1)="#",IF(ISNUMBER(C11),AND(ISNUMBER(B11),ABS(C11-B11)&lt;=0.000001*MAX(1,ABS(B11))),EXACT(C11&amp;"",B11&amp;"")))</f>
      </c>
      <c r="E11">
        <f>ISERROR(C11)</f>
      </c>
    </row>
    <row r="12">
      <c r="A12" t="str">
        <v>F12</v>
      </c>
      <c r="B12">
        <v>24</v>
      </c>
      <c r="C12">
        <f>'hoa10'!F12</f>
      </c>
      <c r="D12">
        <f>IF(ISERROR(C12),LEFT(B12&amp;"",1)="#",IF(ISNUMBER(C12),AND(ISNUMBER(B12),ABS(C12-B12)&lt;=0.000001*MAX(1,ABS(B12))),EXACT(C12&amp;"",B12&amp;"")))</f>
      </c>
      <c r="E12">
        <f>ISERROR(C12)</f>
      </c>
    </row>
    <row r="13">
      <c r="A13" t="str">
        <v>F13</v>
      </c>
      <c r="B13">
        <v>27</v>
      </c>
      <c r="C13">
        <f>'hoa10'!F13</f>
      </c>
      <c r="D13">
        <f>IF(ISERROR(C13),LEFT(B13&amp;"",1)="#",IF(ISNUMBER(C13),AND(ISNUMBER(B13),ABS(C13-B13)&lt;=0.000001*MAX(1,ABS(B13))),EXACT(C13&amp;"",B13&amp;"")))</f>
      </c>
      <c r="E13">
        <f>ISERROR(C13)</f>
      </c>
    </row>
    <row r="14">
      <c r="A14" t="str">
        <v>G2</v>
      </c>
      <c r="B14">
        <v>1.1667</v>
      </c>
      <c r="C14">
        <f>'hoa10'!G2</f>
      </c>
      <c r="D14">
        <f>IF(ISERROR(C14),LEFT(B14&amp;"",1)="#",IF(ISNUMBER(C14),AND(ISNUMBER(B14),ABS(C14-B14)&lt;=0.000001*MAX(1,ABS(B14))),EXACT(C14&amp;"",B14&amp;"")))</f>
      </c>
      <c r="E14">
        <f>ISERROR(C14)</f>
      </c>
    </row>
    <row r="15">
      <c r="A15" t="str">
        <v>G3</v>
      </c>
      <c r="B15">
        <v>0.3077</v>
      </c>
      <c r="C15">
        <f>'hoa10'!G3</f>
      </c>
      <c r="D15">
        <f>IF(ISERROR(C15),LEFT(B15&amp;"",1)="#",IF(ISNUMBER(C15),AND(ISNUMBER(B15),ABS(C15-B15)&lt;=0.000001*MAX(1,ABS(B15))),EXACT(C15&amp;"",B15&amp;"")))</f>
      </c>
      <c r="E15">
        <f>ISERROR(C15)</f>
      </c>
    </row>
    <row r="16">
      <c r="A16" t="str">
        <v>G4</v>
      </c>
      <c r="B16">
        <v>0.1607</v>
      </c>
      <c r="C16">
        <f>'hoa10'!G4</f>
      </c>
      <c r="D16">
        <f>IF(ISERROR(C16),LEFT(B16&amp;"",1)="#",IF(ISNUMBER(C16),AND(ISNUMBER(B16),ABS(C16-B16)&lt;=0.000001*MAX(1,ABS(B16))),EXACT(C16&amp;"",B16&amp;"")))</f>
      </c>
      <c r="E16">
        <f>ISERROR(C16)</f>
      </c>
    </row>
    <row r="17">
      <c r="A17" t="str">
        <v>G5</v>
      </c>
      <c r="B17">
        <v>0.0741</v>
      </c>
      <c r="C17">
        <f>'hoa10'!G5</f>
      </c>
      <c r="D17">
        <f>IF(ISERROR(C17),LEFT(B17&amp;"",1)="#",IF(ISNUMBER(C17),AND(ISNUMBER(B17),ABS(C17-B17)&lt;=0.000001*MAX(1,ABS(B17))),EXACT(C17&amp;"",B17&amp;"")))</f>
      </c>
      <c r="E17">
        <f>ISERROR(C17)</f>
      </c>
    </row>
    <row r="18">
      <c r="A18" t="str">
        <v>G6</v>
      </c>
      <c r="B18">
        <v>0.4615</v>
      </c>
      <c r="C18">
        <f>'hoa10'!G6</f>
      </c>
      <c r="D18">
        <f>IF(ISERROR(C18),LEFT(B18&amp;"",1)="#",IF(ISNUMBER(C18),AND(ISNUMBER(B18),ABS(C18-B18)&lt;=0.000001*MAX(1,ABS(B18))),EXACT(C18&amp;"",B18&amp;"")))</f>
      </c>
      <c r="E18">
        <f>ISERROR(C18)</f>
      </c>
    </row>
    <row r="19">
      <c r="A19" t="str">
        <v>G7</v>
      </c>
      <c r="B19">
        <v>0.2308</v>
      </c>
      <c r="C19">
        <f>'hoa10'!G7</f>
      </c>
      <c r="D19">
        <f>IF(ISERROR(C19),LEFT(B19&amp;"",1)="#",IF(ISNUMBER(C19),AND(ISNUMBER(B19),ABS(C19-B19)&lt;=0.000001*MAX(1,ABS(B19))),EXACT(C19&amp;"",B19&amp;"")))</f>
      </c>
      <c r="E19">
        <f>ISERROR(C19)</f>
      </c>
    </row>
    <row r="20">
      <c r="A20" t="str">
        <v>G8</v>
      </c>
      <c r="B20">
        <v>1.2593</v>
      </c>
      <c r="C20">
        <f>'hoa10'!G8</f>
      </c>
      <c r="D20">
        <f>IF(ISERROR(C20),LEFT(B20&amp;"",1)="#",IF(ISNUMBER(C20),AND(ISNUMBER(B20),ABS(C20-B20)&lt;=0.000001*MAX(1,ABS(B20))),EXACT(C20&amp;"",B20&amp;"")))</f>
      </c>
      <c r="E20">
        <f>ISERROR(C20)</f>
      </c>
    </row>
    <row r="21">
      <c r="A21" t="str">
        <v>G9</v>
      </c>
      <c r="B21">
        <v>1.2963</v>
      </c>
      <c r="C21">
        <f>'hoa10'!G9</f>
      </c>
      <c r="D21">
        <f>IF(ISERROR(C21),LEFT(B21&amp;"",1)="#",IF(ISNUMBER(C21),AND(ISNUMBER(B21),ABS(C21-B21)&lt;=0.000001*MAX(1,ABS(B21))),EXACT(C21&amp;"",B21&amp;"")))</f>
      </c>
      <c r="E21">
        <f>ISERROR(C21)</f>
      </c>
    </row>
    <row r="22">
      <c r="A22" t="str">
        <v>G10</v>
      </c>
      <c r="B22">
        <v>1.3704</v>
      </c>
      <c r="C22">
        <f>'hoa10'!G10</f>
      </c>
      <c r="D22">
        <f>IF(ISERROR(C22),LEFT(B22&amp;"",1)="#",IF(ISNUMBER(C22),AND(ISNUMBER(B22),ABS(C22-B22)&lt;=0.000001*MAX(1,ABS(B22))),EXACT(C22&amp;"",B22&amp;"")))</f>
      </c>
      <c r="E22">
        <f>ISERROR(C22)</f>
      </c>
    </row>
    <row r="23">
      <c r="A23" t="str">
        <v>G11</v>
      </c>
      <c r="B23">
        <v>0.2154</v>
      </c>
      <c r="C23">
        <f>'hoa10'!G11</f>
      </c>
      <c r="D23">
        <f>IF(ISERROR(C23),LEFT(B23&amp;"",1)="#",IF(ISNUMBER(C23),AND(ISNUMBER(B23),ABS(C23-B23)&lt;=0.000001*MAX(1,ABS(B23))),EXACT(C23&amp;"",B23&amp;"")))</f>
      </c>
      <c r="E23">
        <f>ISERROR(C23)</f>
      </c>
    </row>
    <row r="24">
      <c r="A24" t="str">
        <v>G12</v>
      </c>
      <c r="B24">
        <v>0.4167</v>
      </c>
      <c r="C24">
        <f>'hoa10'!G12</f>
      </c>
      <c r="D24">
        <f>IF(ISERROR(C24),LEFT(B24&amp;"",1)="#",IF(ISNUMBER(C24),AND(ISNUMBER(B24),ABS(C24-B24)&lt;=0.000001*MAX(1,ABS(B24))),EXACT(C24&amp;"",B24&amp;"")))</f>
      </c>
      <c r="E24">
        <f>ISERROR(C24)</f>
      </c>
    </row>
    <row r="25">
      <c r="A25" t="str">
        <v>G13</v>
      </c>
      <c r="B25">
        <v>1.4815</v>
      </c>
      <c r="C25">
        <f>'hoa10'!G13</f>
      </c>
      <c r="D25">
        <f>IF(ISERROR(C25),LEFT(B25&amp;"",1)="#",IF(ISNUMBER(C25),AND(ISNUMBER(B25),ABS(C25-B25)&lt;=0.000001*MAX(1,ABS(B25))),EXACT(C25&amp;"",B25&amp;"")))</f>
      </c>
      <c r="E25">
        <f>ISERROR(C25)</f>
      </c>
    </row>
    <row r="26">
      <c r="A26" t="str">
        <v>H2</v>
      </c>
      <c r="B26">
        <v>28.922</v>
      </c>
      <c r="C26">
        <f>'hoa10'!H2</f>
      </c>
      <c r="D26">
        <f>IF(ISERROR(C26),LEFT(B26&amp;"",1)="#",IF(ISNUMBER(C26),AND(ISNUMBER(B26),ABS(C26-B26)&lt;=0.000001*MAX(1,ABS(B26))),EXACT(C26&amp;"",B26&amp;"")))</f>
      </c>
      <c r="E26">
        <f>ISERROR(C26)</f>
      </c>
    </row>
    <row r="27">
      <c r="A27" t="str">
        <v>H3</v>
      </c>
      <c r="B27">
        <v>7.628</v>
      </c>
      <c r="C27">
        <f>'hoa10'!H3</f>
      </c>
      <c r="D27">
        <f>IF(ISERROR(C27),LEFT(B27&amp;"",1)="#",IF(ISNUMBER(C27),AND(ISNUMBER(B27),ABS(C27-B27)&lt;=0.000001*MAX(1,ABS(B27))),EXACT(C27&amp;"",B27&amp;"")))</f>
      </c>
      <c r="E27">
        <f>ISERROR(C27)</f>
      </c>
    </row>
    <row r="28">
      <c r="A28" t="str">
        <v>H4</v>
      </c>
      <c r="B28">
        <v>3.984</v>
      </c>
      <c r="C28">
        <f>'hoa10'!H4</f>
      </c>
      <c r="D28">
        <f>IF(ISERROR(C28),LEFT(B28&amp;"",1)="#",IF(ISNUMBER(C28),AND(ISNUMBER(B28),ABS(C28-B28)&lt;=0.000001*MAX(1,ABS(B28))),EXACT(C28&amp;"",B28&amp;"")))</f>
      </c>
      <c r="E28">
        <f>ISERROR(C28)</f>
      </c>
    </row>
    <row r="29">
      <c r="A29" t="str">
        <v>H5</v>
      </c>
      <c r="B29">
        <v>2.754</v>
      </c>
      <c r="C29">
        <f>'hoa10'!H5</f>
      </c>
      <c r="D29">
        <f>IF(ISERROR(C29),LEFT(B29&amp;"",1)="#",IF(ISNUMBER(C29),AND(ISNUMBER(B29),ABS(C29-B29)&lt;=0.000001*MAX(1,ABS(B29))),EXACT(C29&amp;"",B29&amp;"")))</f>
      </c>
      <c r="E29">
        <f>ISERROR(C29)</f>
      </c>
    </row>
    <row r="30">
      <c r="A30" t="str">
        <v>H6</v>
      </c>
      <c r="B30">
        <v>11.442</v>
      </c>
      <c r="C30">
        <f>'hoa10'!H6</f>
      </c>
      <c r="D30">
        <f>IF(ISERROR(C30),LEFT(B30&amp;"",1)="#",IF(ISNUMBER(C30),AND(ISNUMBER(B30),ABS(C30-B30)&lt;=0.000001*MAX(1,ABS(B30))),EXACT(C30&amp;"",B30&amp;"")))</f>
      </c>
      <c r="E30">
        <f>ISERROR(C30)</f>
      </c>
    </row>
    <row r="31">
      <c r="A31" t="str">
        <v>H7</v>
      </c>
      <c r="B31">
        <v>5.721</v>
      </c>
      <c r="C31">
        <f>'hoa10'!H7</f>
      </c>
      <c r="D31">
        <f>IF(ISERROR(C31),LEFT(B31&amp;"",1)="#",IF(ISNUMBER(C31),AND(ISNUMBER(B31),ABS(C31-B31)&lt;=0.000001*MAX(1,ABS(B31))),EXACT(C31&amp;"",B31&amp;"")))</f>
      </c>
      <c r="E31">
        <f>ISERROR(C31)</f>
      </c>
    </row>
    <row r="32">
      <c r="A32" t="str">
        <v>H8</v>
      </c>
      <c r="B32">
        <v>46.826</v>
      </c>
      <c r="C32">
        <f>'hoa10'!H8</f>
      </c>
      <c r="D32">
        <f>IF(ISERROR(C32),LEFT(B32&amp;"",1)="#",IF(ISNUMBER(C32),AND(ISNUMBER(B32),ABS(C32-B32)&lt;=0.000001*MAX(1,ABS(B32))),EXACT(C32&amp;"",B32&amp;"")))</f>
      </c>
      <c r="E32">
        <f>ISERROR(C32)</f>
      </c>
    </row>
    <row r="33">
      <c r="A33" t="str">
        <v>H9</v>
      </c>
      <c r="B33">
        <v>48.203</v>
      </c>
      <c r="C33">
        <f>'hoa10'!H9</f>
      </c>
      <c r="D33">
        <f>IF(ISERROR(C33),LEFT(B33&amp;"",1)="#",IF(ISNUMBER(C33),AND(ISNUMBER(B33),ABS(C33-B33)&lt;=0.000001*MAX(1,ABS(B33))),EXACT(C33&amp;"",B33&amp;"")))</f>
      </c>
      <c r="E33">
        <f>ISERROR(C33)</f>
      </c>
    </row>
    <row r="34">
      <c r="A34" t="str">
        <v>H10</v>
      </c>
      <c r="B34">
        <v>50.957</v>
      </c>
      <c r="C34">
        <f>'hoa10'!H10</f>
      </c>
      <c r="D34">
        <f>IF(ISERROR(C34),LEFT(B34&amp;"",1)="#",IF(ISNUMBER(C34),AND(ISNUMBER(B34),ABS(C34-B34)&lt;=0.000001*MAX(1,ABS(B34))),EXACT(C34&amp;"",B34&amp;"")))</f>
      </c>
      <c r="E34">
        <f>ISERROR(C34)</f>
      </c>
    </row>
    <row r="35">
      <c r="A35" t="str">
        <v>H11</v>
      </c>
      <c r="B35">
        <v>5.339</v>
      </c>
      <c r="C35">
        <f>'hoa10'!H11</f>
      </c>
      <c r="D35">
        <f>IF(ISERROR(C35),LEFT(B35&amp;"",1)="#",IF(ISNUMBER(C35),AND(ISNUMBER(B35),ABS(C35-B35)&lt;=0.000001*MAX(1,ABS(B35))),EXACT(C35&amp;"",B35&amp;"")))</f>
      </c>
      <c r="E35">
        <f>ISERROR(C35)</f>
      </c>
    </row>
    <row r="36">
      <c r="A36" t="str">
        <v>H12</v>
      </c>
      <c r="B36">
        <v>10.329</v>
      </c>
      <c r="C36">
        <f>'hoa10'!H12</f>
      </c>
      <c r="D36">
        <f>IF(ISERROR(C36),LEFT(B36&amp;"",1)="#",IF(ISNUMBER(C36),AND(ISNUMBER(B36),ABS(C36-B36)&lt;=0.000001*MAX(1,ABS(B36))),EXACT(C36&amp;"",B36&amp;"")))</f>
      </c>
      <c r="E36">
        <f>ISERROR(C36)</f>
      </c>
    </row>
    <row r="37">
      <c r="A37" t="str">
        <v>H13</v>
      </c>
      <c r="B37">
        <v>55.089</v>
      </c>
      <c r="C37">
        <f>'hoa10'!H13</f>
      </c>
      <c r="D37">
        <f>IF(ISERROR(C37),LEFT(B37&amp;"",1)="#",IF(ISNUMBER(C37),AND(ISNUMBER(B37),ABS(C37-B37)&lt;=0.000001*MAX(1,ABS(B37))),EXACT(C37&amp;"",B37&amp;"")))</f>
      </c>
      <c r="E37">
        <f>ISERROR(C37)</f>
      </c>
    </row>
    <row r="38">
      <c r="A38" t="str">
        <v>I2</v>
      </c>
      <c r="B38">
        <v>26.03</v>
      </c>
      <c r="C38">
        <f>'hoa10'!I2</f>
      </c>
      <c r="D38">
        <f>IF(ISERROR(C38),LEFT(B38&amp;"",1)="#",IF(ISNUMBER(C38),AND(ISNUMBER(B38),ABS(C38-B38)&lt;=0.000001*MAX(1,ABS(B38))),EXACT(C38&amp;"",B38&amp;"")))</f>
      </c>
      <c r="E38">
        <f>ISERROR(C38)</f>
      </c>
    </row>
    <row r="39">
      <c r="A39" t="str">
        <v>I3</v>
      </c>
      <c r="B39">
        <v>6.102</v>
      </c>
      <c r="C39">
        <f>'hoa10'!I3</f>
      </c>
      <c r="D39">
        <f>IF(ISERROR(C39),LEFT(B39&amp;"",1)="#",IF(ISNUMBER(C39),AND(ISNUMBER(B39),ABS(C39-B39)&lt;=0.000001*MAX(1,ABS(B39))),EXACT(C39&amp;"",B39&amp;"")))</f>
      </c>
      <c r="E39">
        <f>ISERROR(C39)</f>
      </c>
    </row>
    <row r="40">
      <c r="A40" t="str">
        <v>I4</v>
      </c>
      <c r="B40">
        <v>3.984</v>
      </c>
      <c r="C40">
        <f>'hoa10'!I4</f>
      </c>
      <c r="D40">
        <f>IF(ISERROR(C40),LEFT(B40&amp;"",1)="#",IF(ISNUMBER(C40),AND(ISNUMBER(B40),ABS(C40-B40)&lt;=0.000001*MAX(1,ABS(B40))),EXACT(C40&amp;"",B40&amp;"")))</f>
      </c>
      <c r="E40">
        <f>ISERROR(C40)</f>
      </c>
    </row>
    <row r="41">
      <c r="A41" t="str">
        <v>I5</v>
      </c>
      <c r="B41">
        <v>2.754</v>
      </c>
      <c r="C41">
        <f>'hoa10'!I5</f>
      </c>
      <c r="D41">
        <f>IF(ISERROR(C41),LEFT(B41&amp;"",1)="#",IF(ISNUMBER(C41),AND(ISNUMBER(B41),ABS(C41-B41)&lt;=0.000001*MAX(1,ABS(B41))),EXACT(C41&amp;"",B41&amp;"")))</f>
      </c>
      <c r="E41">
        <f>ISERROR(C41)</f>
      </c>
    </row>
    <row r="42">
      <c r="A42" t="str">
        <v>I6</v>
      </c>
      <c r="B42">
        <v>10.869</v>
      </c>
      <c r="C42">
        <f>'hoa10'!I6</f>
      </c>
      <c r="D42">
        <f>IF(ISERROR(C42),LEFT(B42&amp;"",1)="#",IF(ISNUMBER(C42),AND(ISNUMBER(B42),ABS(C42-B42)&lt;=0.000001*MAX(1,ABS(B42))),EXACT(C42&amp;"",B42&amp;"")))</f>
      </c>
      <c r="E42">
        <f>ISERROR(C42)</f>
      </c>
    </row>
    <row r="43">
      <c r="A43" t="str">
        <v>I7</v>
      </c>
      <c r="B43">
        <v>5.721</v>
      </c>
      <c r="C43">
        <f>'hoa10'!I7</f>
      </c>
      <c r="D43">
        <f>IF(ISERROR(C43),LEFT(B43&amp;"",1)="#",IF(ISNUMBER(C43),AND(ISNUMBER(B43),ABS(C43-B43)&lt;=0.000001*MAX(1,ABS(B43))),EXACT(C43&amp;"",B43&amp;"")))</f>
      </c>
      <c r="E43">
        <f>ISERROR(C43)</f>
      </c>
    </row>
    <row r="44">
      <c r="A44" t="str">
        <v>I8</v>
      </c>
      <c r="B44">
        <v>39.802</v>
      </c>
      <c r="C44">
        <f>'hoa10'!I8</f>
      </c>
      <c r="D44">
        <f>IF(ISERROR(C44),LEFT(B44&amp;"",1)="#",IF(ISNUMBER(C44),AND(ISNUMBER(B44),ABS(C44-B44)&lt;=0.000001*MAX(1,ABS(B44))),EXACT(C44&amp;"",B44&amp;"")))</f>
      </c>
      <c r="E44">
        <f>ISERROR(C44)</f>
      </c>
    </row>
    <row r="45">
      <c r="A45" t="str">
        <v>I9</v>
      </c>
      <c r="B45">
        <v>40.972</v>
      </c>
      <c r="C45">
        <f>'hoa10'!I9</f>
      </c>
      <c r="D45">
        <f>IF(ISERROR(C45),LEFT(B45&amp;"",1)="#",IF(ISNUMBER(C45),AND(ISNUMBER(B45),ABS(C45-B45)&lt;=0.000001*MAX(1,ABS(B45))),EXACT(C45&amp;"",B45&amp;"")))</f>
      </c>
      <c r="E45">
        <f>ISERROR(C45)</f>
      </c>
    </row>
    <row r="46">
      <c r="A46" t="str">
        <v>I10</v>
      </c>
      <c r="B46">
        <v>43.314</v>
      </c>
      <c r="C46">
        <f>'hoa10'!I10</f>
      </c>
      <c r="D46">
        <f>IF(ISERROR(C46),LEFT(B46&amp;"",1)="#",IF(ISNUMBER(C46),AND(ISNUMBER(B46),ABS(C46-B46)&lt;=0.000001*MAX(1,ABS(B46))),EXACT(C46&amp;"",B46&amp;"")))</f>
      </c>
      <c r="E46">
        <f>ISERROR(C46)</f>
      </c>
    </row>
    <row r="47">
      <c r="A47" t="str">
        <v>I11</v>
      </c>
      <c r="B47">
        <v>4.805</v>
      </c>
      <c r="C47">
        <f>'hoa10'!I11</f>
      </c>
      <c r="D47">
        <f>IF(ISERROR(C47),LEFT(B47&amp;"",1)="#",IF(ISNUMBER(C47),AND(ISNUMBER(B47),ABS(C47-B47)&lt;=0.000001*MAX(1,ABS(B47))),EXACT(C47&amp;"",B47&amp;"")))</f>
      </c>
      <c r="E47">
        <f>ISERROR(C47)</f>
      </c>
    </row>
    <row r="48">
      <c r="A48" t="str">
        <v>I12</v>
      </c>
      <c r="B48">
        <v>9.296</v>
      </c>
      <c r="C48">
        <f>'hoa10'!I12</f>
      </c>
      <c r="D48">
        <f>IF(ISERROR(C48),LEFT(B48&amp;"",1)="#",IF(ISNUMBER(C48),AND(ISNUMBER(B48),ABS(C48-B48)&lt;=0.000001*MAX(1,ABS(B48))),EXACT(C48&amp;"",B48&amp;"")))</f>
      </c>
      <c r="E48">
        <f>ISERROR(C48)</f>
      </c>
    </row>
    <row r="49">
      <c r="A49" t="str">
        <v>I13</v>
      </c>
      <c r="B49">
        <v>52.334</v>
      </c>
      <c r="C49">
        <f>'hoa10'!I13</f>
      </c>
      <c r="D49">
        <f>IF(ISERROR(C49),LEFT(B49&amp;"",1)="#",IF(ISNUMBER(C49),AND(ISNUMBER(B49),ABS(C49-B49)&lt;=0.000001*MAX(1,ABS(B49))),EXACT(C49&amp;"",B49&amp;"")))</f>
      </c>
      <c r="E49">
        <f>ISERROR(C49)</f>
      </c>
    </row>
    <row r="50">
      <c r="A50" t="str">
        <v>Z2</v>
      </c>
      <c r="B50" t="str">
        <v>PU12</v>
      </c>
      <c r="C50">
        <f>'hoa10'!Z2</f>
      </c>
      <c r="D50">
        <f>IF(ISERROR(C50),LEFT(B50&amp;"",1)="#",IF(ISNUMBER(C50),AND(ISNUMBER(B50),ABS(C50-B50)&lt;=0.000001*MAX(1,ABS(B50))),EXACT(C50&amp;"",B50&amp;"")))</f>
      </c>
      <c r="E50">
        <f>ISERROR(C50)</f>
      </c>
    </row>
    <row r="51">
      <c r="A51" t="str">
        <v>Z3</v>
      </c>
      <c r="B51">
        <v>27.497</v>
      </c>
      <c r="C51">
        <f>'hoa10'!Z3</f>
      </c>
      <c r="D51">
        <f>IF(ISERROR(C51),LEFT(B51&amp;"",1)="#",IF(ISNUMBER(C51),AND(ISNUMBER(B51),ABS(C51-B51)&lt;=0.000001*MAX(1,ABS(B51))),EXACT(C51&amp;"",B51&amp;"")))</f>
      </c>
      <c r="E51">
        <f>ISERROR(C51)</f>
      </c>
    </row>
    <row r="52">
      <c r="A52" t="str">
        <v>Z4</v>
      </c>
      <c r="B52">
        <v>4</v>
      </c>
      <c r="C52">
        <f>'hoa10'!Z4</f>
      </c>
      <c r="D52">
        <f>IF(ISERROR(C52),LEFT(B52&amp;"",1)="#",IF(ISNUMBER(C52),AND(ISNUMBER(B52),ABS(C52-B52)&lt;=0.000001*MAX(1,ABS(B52))),EXACT(C52&amp;"",B52&amp;"")))</f>
      </c>
      <c r="E52">
        <f>ISERROR(C52)</f>
      </c>
    </row>
    <row r="53">
      <c r="A53" t="str">
        <v>Z5</v>
      </c>
      <c r="B53">
        <v>3.984</v>
      </c>
      <c r="C53">
        <f>'hoa10'!Z5</f>
      </c>
      <c r="D53">
        <f>IF(ISERROR(C53),LEFT(B53&amp;"",1)="#",IF(ISNUMBER(C53),AND(ISNUMBER(B53),ABS(C53-B53)&lt;=0.000001*MAX(1,ABS(B53))),EXACT(C53&amp;"",B53&amp;"")))</f>
      </c>
      <c r="E53">
        <f>ISERROR(C53)</f>
      </c>
    </row>
    <row r="54">
      <c r="A54" t="str">
        <v>Z6</v>
      </c>
      <c r="B54">
        <v>26.03</v>
      </c>
      <c r="C54">
        <f>'hoa10'!Z6</f>
      </c>
      <c r="D54">
        <f>IF(ISERROR(C54),LEFT(B54&amp;"",1)="#",IF(ISNUMBER(C54),AND(ISNUMBER(B54),ABS(C54-B54)&lt;=0.000001*MAX(1,ABS(B54))),EXACT(C54&amp;"",B54&amp;"")))</f>
      </c>
      <c r="E54">
        <f>ISERROR(C54)</f>
      </c>
    </row>
    <row r="55">
      <c r="A55" t="str">
        <v>Z7</v>
      </c>
      <c r="B55">
        <v>10.0825</v>
      </c>
      <c r="C55">
        <f>'hoa10'!Z7</f>
      </c>
      <c r="D55">
        <f>IF(ISERROR(C55),LEFT(B55&amp;"",1)="#",IF(ISNUMBER(C55),AND(ISNUMBER(B55),ABS(C55-B55)&lt;=0.000001*MAX(1,ABS(B55))),EXACT(C55&amp;"",B55&amp;"")))</f>
      </c>
      <c r="E55">
        <f>ISERROR(C55)</f>
      </c>
    </row>
    <row r="56">
      <c r="A56" t="str">
        <v>Z8</v>
      </c>
      <c r="B56">
        <v>43.314</v>
      </c>
      <c r="C56">
        <f>'hoa10'!Z8</f>
      </c>
      <c r="D56">
        <f>IF(ISERROR(C56),LEFT(B56&amp;"",1)="#",IF(ISNUMBER(C56),AND(ISNUMBER(B56),ABS(C56-B56)&lt;=0.000001*MAX(1,ABS(B56))),EXACT(C56&amp;"",B56&amp;"")))</f>
      </c>
      <c r="E56">
        <f>ISERROR(C56)</f>
      </c>
    </row>
    <row r="57">
      <c r="A57" t="str">
        <v>Z9</v>
      </c>
      <c r="B57">
        <v>0.554</v>
      </c>
      <c r="C57">
        <f>'hoa10'!Z9</f>
      </c>
      <c r="D57">
        <f>IF(ISERROR(C57),LEFT(B57&amp;"",1)="#",IF(ISNUMBER(C57),AND(ISNUMBER(B57),ABS(C57-B57)&lt;=0.000001*MAX(1,ABS(B57))),EXACT(C57&amp;"",B57&amp;"")))</f>
      </c>
      <c r="E57">
        <f>ISERROR(C57)</f>
      </c>
    </row>
    <row r="58">
      <c r="A58" t="str">
        <v>Z10</v>
      </c>
      <c r="B58">
        <v>27.497</v>
      </c>
      <c r="C58">
        <f>'hoa10'!Z10</f>
      </c>
      <c r="D58">
        <f>IF(ISERROR(C58),LEFT(B58&amp;"",1)="#",IF(ISNUMBER(C58),AND(ISNUMBER(B58),ABS(C58-B58)&lt;=0.000001*MAX(1,ABS(B58))),EXACT(C58&amp;"",B58&amp;"")))</f>
      </c>
      <c r="E58">
        <f>ISERROR(C58)</f>
      </c>
    </row>
    <row r="59">
      <c r="A59" t="str">
        <v>Z11</v>
      </c>
      <c r="B59">
        <v>4</v>
      </c>
      <c r="C59">
        <f>'hoa10'!Z11</f>
      </c>
      <c r="D59">
        <f>IF(ISERROR(C59),LEFT(B59&amp;"",1)="#",IF(ISNUMBER(C59),AND(ISNUMBER(B59),ABS(C59-B59)&lt;=0.000001*MAX(1,ABS(B59))),EXACT(C59&amp;"",B59&amp;"")))</f>
      </c>
      <c r="E59">
        <f>ISERROR(C59)</f>
      </c>
    </row>
    <row r="60">
      <c r="A60" t="str">
        <v>Z12</v>
      </c>
      <c r="B60">
        <v>27.497</v>
      </c>
      <c r="C60">
        <f>'hoa10'!Z12</f>
      </c>
      <c r="D60">
        <f>IF(ISERROR(C60),LEFT(B60&amp;"",1)="#",IF(ISNUMBER(C60),AND(ISNUMBER(B60),ABS(C60-B60)&lt;=0.000001*MAX(1,ABS(B60))),EXACT(C60&amp;"",B60&amp;"")))</f>
      </c>
      <c r="E60">
        <f>ISERROR(C60)</f>
      </c>
    </row>
    <row r="61">
      <c r="A61" t="str">
        <v>Z13</v>
      </c>
      <c r="B61">
        <v>24540</v>
      </c>
      <c r="C61">
        <f>'hoa10'!Z13</f>
      </c>
      <c r="D61">
        <f>IF(ISERROR(C61),LEFT(B61&amp;"",1)="#",IF(ISNUMBER(C61),AND(ISNUMBER(B61),ABS(C61-B61)&lt;=0.000001*MAX(1,ABS(B61))),EXACT(C61&amp;"",B61&amp;"")))</f>
      </c>
      <c r="E61">
        <f>ISERROR(C61)</f>
      </c>
    </row>
  </sheetData>
  <ignoredErrors>
    <ignoredError numberStoredAsText="1" sqref="A1:E61"/>
  </ignoredErrors>
</worksheet>
</file>

<file path=xl/worksheets/sheet2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N0</v>
      </c>
      <c r="C1" t="str">
        <v>TheHe</v>
      </c>
      <c r="D1" t="str">
        <v>t</v>
      </c>
      <c r="E1" t="str">
        <v>SoLanChia</v>
      </c>
      <c r="F1" t="str">
        <v>SoTB</v>
      </c>
      <c r="G1" t="str">
        <v>TangGap</v>
      </c>
      <c r="H1" t="str">
        <v>PhanLoai</v>
      </c>
      <c r="W1" t="str">
        <v>PhanLoai</v>
      </c>
      <c r="Y1" t="str">
        <v>TongHop</v>
      </c>
      <c r="Z1" t="str">
        <v>KetQua</v>
      </c>
    </row>
    <row r="2">
      <c r="A2" t="str">
        <v>VS01</v>
      </c>
      <c r="B2">
        <v>1000</v>
      </c>
      <c r="C2">
        <v>20</v>
      </c>
      <c r="D2">
        <v>240</v>
      </c>
      <c r="E2">
        <f>INT(D2/C2)</f>
        <v>12</v>
      </c>
      <c r="F2">
        <f>B2*POWER(2,E2)</f>
        <v>4096000</v>
      </c>
      <c r="G2">
        <f>F2/B2</f>
        <v>4096</v>
      </c>
      <c r="H2" t="str">
        <f>IF(F2&gt;=20000,"PHAT TRIEN MANH","BINH THUONG")</f>
        <v>PHAT TRIEN MANH</v>
      </c>
      <c r="W2" t="str">
        <v>PHAT TRIEN MANH</v>
      </c>
      <c r="Y2" t="str">
        <v>Ma MaMau co SoTB lon nhat</v>
      </c>
      <c r="Z2" t="str">
        <f>INDEX(A2:A13,MATCH(MAX(F2:F13),F2:F13,0))</f>
        <v>VS01</v>
      </c>
    </row>
    <row r="3">
      <c r="A3" t="str">
        <v>VS02</v>
      </c>
      <c r="B3">
        <v>500</v>
      </c>
      <c r="C3">
        <v>30</v>
      </c>
      <c r="D3">
        <v>160</v>
      </c>
      <c r="E3">
        <f>INT(D3/C3)</f>
        <v>5</v>
      </c>
      <c r="F3">
        <f>B3*POWER(2,E3)</f>
        <v>16000</v>
      </c>
      <c r="G3">
        <f>F3/B3</f>
        <v>32</v>
      </c>
      <c r="H3" t="str">
        <f>IF(F3&gt;=20000,"PHAT TRIEN MANH","BINH THUONG")</f>
        <v>BINH THUONG</v>
      </c>
      <c r="Y3" t="str">
        <v>Tong SoTB khi PhanLoai = PHAT TRIEN MANH</v>
      </c>
      <c r="Z3">
        <f>SUMIF(H2:H13,"PHAT TRIEN MANH",F2:F13)</f>
        <v>10732800</v>
      </c>
    </row>
    <row r="4">
      <c r="A4" t="str">
        <v>VS03</v>
      </c>
      <c r="B4">
        <v>100</v>
      </c>
      <c r="C4">
        <v>20</v>
      </c>
      <c r="D4">
        <v>220</v>
      </c>
      <c r="E4">
        <f>INT(D4/C4)</f>
        <v>11</v>
      </c>
      <c r="F4">
        <f>B4*POWER(2,E4)</f>
        <v>204800</v>
      </c>
      <c r="G4">
        <f>F4/B4</f>
        <v>2048</v>
      </c>
      <c r="H4" t="str">
        <f>IF(F4&gt;=20000,"PHAT TRIEN MANH","BINH THUONG")</f>
        <v>PHAT TRIEN MANH</v>
      </c>
      <c r="Y4" t="str">
        <v>So dong PhanLoai = BINH THUONG, TheHe &gt;=30</v>
      </c>
      <c r="Z4">
        <f>COUNTIFS(H2:H13,"BINH THUONG",C2:C13,"&gt;=30")</f>
        <v>6</v>
      </c>
    </row>
    <row r="5">
      <c r="A5" t="str">
        <v>VS04</v>
      </c>
      <c r="B5">
        <v>100</v>
      </c>
      <c r="C5">
        <v>60</v>
      </c>
      <c r="D5">
        <v>120</v>
      </c>
      <c r="E5">
        <f>INT(D5/C5)</f>
        <v>2</v>
      </c>
      <c r="F5">
        <f>B5*POWER(2,E5)</f>
        <v>400</v>
      </c>
      <c r="G5">
        <f>F5/B5</f>
        <v>4</v>
      </c>
      <c r="H5" t="str">
        <f>IF(F5&gt;=20000,"PHAT TRIEN MANH","BINH THUONG")</f>
        <v>BINH THUONG</v>
      </c>
      <c r="Y5" t="str">
        <v>SoLanChia trung binh khi PhanLoai = BINH THUONG</v>
      </c>
      <c r="Z5">
        <f>AVERAGEIF(H2:H13,"BINH THUONG",E2:E13)</f>
        <v>3.6666666666666665</v>
      </c>
    </row>
    <row r="6">
      <c r="A6" t="str">
        <v>VS05</v>
      </c>
      <c r="B6">
        <v>500</v>
      </c>
      <c r="C6">
        <v>40</v>
      </c>
      <c r="D6">
        <v>120</v>
      </c>
      <c r="E6">
        <f>INT(D6/C6)</f>
        <v>3</v>
      </c>
      <c r="F6">
        <f>B6*POWER(2,E6)</f>
        <v>4000</v>
      </c>
      <c r="G6">
        <f>F6/B6</f>
        <v>8</v>
      </c>
      <c r="H6" t="str">
        <f>IF(F6&gt;=20000,"PHAT TRIEN MANH","BINH THUONG")</f>
        <v>BINH THUONG</v>
      </c>
      <c r="Y6" t="str">
        <v>SoTB lon nhat khi PhanLoai = PHAT TRIEN MANH</v>
      </c>
      <c r="Z6">
        <f>_xlfn.MAXIFS(F2:F13,H2:H13,"PHAT TRIEN MANH")</f>
        <v>4096000</v>
      </c>
    </row>
    <row r="7">
      <c r="A7" t="str">
        <v>VS06</v>
      </c>
      <c r="B7">
        <v>200</v>
      </c>
      <c r="C7">
        <v>60</v>
      </c>
      <c r="D7">
        <v>200</v>
      </c>
      <c r="E7">
        <f>INT(D7/C7)</f>
        <v>3</v>
      </c>
      <c r="F7">
        <f>B7*POWER(2,E7)</f>
        <v>1600</v>
      </c>
      <c r="G7">
        <f>F7/B7</f>
        <v>8</v>
      </c>
      <c r="H7" t="str">
        <f>IF(F7&gt;=20000,"PHAT TRIEN MANH","BINH THUONG")</f>
        <v>BINH THUONG</v>
      </c>
      <c r="Y7" t="str">
        <v>SoTB trung vi</v>
      </c>
      <c r="Z7">
        <f>MEDIAN(F2:F13)</f>
        <v>24000</v>
      </c>
    </row>
    <row r="8">
      <c r="A8" t="str">
        <v>VS07</v>
      </c>
      <c r="B8">
        <v>1000</v>
      </c>
      <c r="C8">
        <v>20</v>
      </c>
      <c r="D8">
        <v>220</v>
      </c>
      <c r="E8">
        <f>INT(D8/C8)</f>
        <v>11</v>
      </c>
      <c r="F8">
        <f>B8*POWER(2,E8)</f>
        <v>2048000</v>
      </c>
      <c r="G8">
        <f>F8/B8</f>
        <v>2048</v>
      </c>
      <c r="H8" t="str">
        <f>IF(F8&gt;=20000,"PHAT TRIEN MANH","BINH THUONG")</f>
        <v>PHAT TRIEN MANH</v>
      </c>
      <c r="Y8" t="str">
        <v>SoTB lon thu hai</v>
      </c>
      <c r="Z8">
        <f>LARGE(F2:F13,2)</f>
        <v>4096000</v>
      </c>
    </row>
    <row r="9">
      <c r="A9" t="str">
        <v>VS08</v>
      </c>
      <c r="B9">
        <v>1000</v>
      </c>
      <c r="C9">
        <v>20</v>
      </c>
      <c r="D9">
        <v>240</v>
      </c>
      <c r="E9">
        <f>INT(D9/C9)</f>
        <v>12</v>
      </c>
      <c r="F9">
        <f>B9*POWER(2,E9)</f>
        <v>4096000</v>
      </c>
      <c r="G9">
        <f>F9/B9</f>
        <v>4096</v>
      </c>
      <c r="H9" t="str">
        <f>IF(F9&gt;=20000,"PHAT TRIEN MANH","BINH THUONG")</f>
        <v>PHAT TRIEN MANH</v>
      </c>
      <c r="Y9" t="str">
        <v>Do lech chuan SoLanChia</v>
      </c>
      <c r="Z9">
        <f>ROUND(STDEV(E2:E13),2)</f>
        <v>3.96</v>
      </c>
    </row>
    <row r="10">
      <c r="A10" t="str">
        <v>VS09</v>
      </c>
      <c r="B10">
        <v>1000</v>
      </c>
      <c r="C10">
        <v>20</v>
      </c>
      <c r="D10">
        <v>160</v>
      </c>
      <c r="E10">
        <f>INT(D10/C10)</f>
        <v>8</v>
      </c>
      <c r="F10">
        <f>B10*POWER(2,E10)</f>
        <v>256000</v>
      </c>
      <c r="G10">
        <f>F10/B10</f>
        <v>256</v>
      </c>
      <c r="H10" t="str">
        <f>IF(F10&gt;=20000,"PHAT TRIEN MANH","BINH THUONG")</f>
        <v>PHAT TRIEN MANH</v>
      </c>
      <c r="Y10" t="str">
        <v>Tong SoTB theo tieu chi W1:W2</v>
      </c>
      <c r="Z10">
        <f>DSUM(A1:H13,"SoTB",W1:W2)</f>
        <v>10732800</v>
      </c>
    </row>
    <row r="11">
      <c r="A11" t="str">
        <v>VS10</v>
      </c>
      <c r="B11">
        <v>200</v>
      </c>
      <c r="C11">
        <v>40</v>
      </c>
      <c r="D11">
        <v>100</v>
      </c>
      <c r="E11">
        <f>INT(D11/C11)</f>
        <v>2</v>
      </c>
      <c r="F11">
        <f>B11*POWER(2,E11)</f>
        <v>800</v>
      </c>
      <c r="G11">
        <f>F11/B11</f>
        <v>4</v>
      </c>
      <c r="H11" t="str">
        <f>IF(F11&gt;=20000,"PHAT TRIEN MANH","BINH THUONG")</f>
        <v>BINH THUONG</v>
      </c>
      <c r="Y11" t="str">
        <v>So dong theo tieu chi W1:W2</v>
      </c>
      <c r="Z11">
        <f>DCOUNT(A1:H13,"SoTB",W1:W2)</f>
        <v>6</v>
      </c>
    </row>
    <row r="12">
      <c r="A12" t="str">
        <v>VS11</v>
      </c>
      <c r="B12">
        <v>100</v>
      </c>
      <c r="C12">
        <v>30</v>
      </c>
      <c r="D12">
        <v>220</v>
      </c>
      <c r="E12">
        <f>INT(D12/C12)</f>
        <v>7</v>
      </c>
      <c r="F12">
        <f>B12*POWER(2,E12)</f>
        <v>12800</v>
      </c>
      <c r="G12">
        <f>F12/B12</f>
        <v>128</v>
      </c>
      <c r="H12" t="str">
        <f>IF(F12&gt;=20000,"PHAT TRIEN MANH","BINH THUONG")</f>
        <v>BINH THUONG</v>
      </c>
      <c r="Y12" t="str">
        <v>Tong SoTB khi PhanLoai = PHAT TRIEN MANH (SUMPRODUCT)</v>
      </c>
      <c r="Z12">
        <f>SUMPRODUCT((H2:H13="PHAT TRIEN MANH")*F2:F13)</f>
        <v>10732800</v>
      </c>
    </row>
    <row r="13">
      <c r="A13" t="str">
        <v>VS12</v>
      </c>
      <c r="B13">
        <v>1000</v>
      </c>
      <c r="C13">
        <v>40</v>
      </c>
      <c r="D13">
        <v>220</v>
      </c>
      <c r="E13">
        <f>INT(D13/C13)</f>
        <v>5</v>
      </c>
      <c r="F13">
        <f>B13*POWER(2,E13)</f>
        <v>32000</v>
      </c>
      <c r="G13">
        <f>F13/B13</f>
        <v>32</v>
      </c>
      <c r="H13" t="str">
        <f>IF(F13&gt;=20000,"PHAT TRIEN MANH","BINH THUONG")</f>
        <v>PHAT TRIEN MANH</v>
      </c>
      <c r="Y13" t="str">
        <v>Tong N0 x t</v>
      </c>
      <c r="Z13">
        <f>SUMPRODUCT(B2:B13,D2:D13)</f>
        <v>1336000</v>
      </c>
    </row>
  </sheetData>
  <ignoredErrors>
    <ignoredError numberStoredAsText="1" sqref="A1:Z13"/>
  </ignoredErrors>
</worksheet>
</file>

<file path=xl/worksheets/sheet29.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12</v>
      </c>
      <c r="C2">
        <f>'sinh10'!E2</f>
      </c>
      <c r="D2">
        <f>IF(ISERROR(C2),LEFT(B2&amp;"",1)="#",IF(ISNUMBER(C2),AND(ISNUMBER(B2),ABS(C2-B2)&lt;=0.000001*MAX(1,ABS(B2))),EXACT(C2&amp;"",B2&amp;"")))</f>
      </c>
      <c r="E2">
        <f>ISERROR(C2)</f>
      </c>
    </row>
    <row r="3">
      <c r="A3" t="str">
        <v>E3</v>
      </c>
      <c r="B3">
        <v>5</v>
      </c>
      <c r="C3">
        <f>'sinh10'!E3</f>
      </c>
      <c r="D3">
        <f>IF(ISERROR(C3),LEFT(B3&amp;"",1)="#",IF(ISNUMBER(C3),AND(ISNUMBER(B3),ABS(C3-B3)&lt;=0.000001*MAX(1,ABS(B3))),EXACT(C3&amp;"",B3&amp;"")))</f>
      </c>
      <c r="E3">
        <f>ISERROR(C3)</f>
      </c>
    </row>
    <row r="4">
      <c r="A4" t="str">
        <v>E4</v>
      </c>
      <c r="B4">
        <v>11</v>
      </c>
      <c r="C4">
        <f>'sinh10'!E4</f>
      </c>
      <c r="D4">
        <f>IF(ISERROR(C4),LEFT(B4&amp;"",1)="#",IF(ISNUMBER(C4),AND(ISNUMBER(B4),ABS(C4-B4)&lt;=0.000001*MAX(1,ABS(B4))),EXACT(C4&amp;"",B4&amp;"")))</f>
      </c>
      <c r="E4">
        <f>ISERROR(C4)</f>
      </c>
    </row>
    <row r="5">
      <c r="A5" t="str">
        <v>E5</v>
      </c>
      <c r="B5">
        <v>2</v>
      </c>
      <c r="C5">
        <f>'sinh10'!E5</f>
      </c>
      <c r="D5">
        <f>IF(ISERROR(C5),LEFT(B5&amp;"",1)="#",IF(ISNUMBER(C5),AND(ISNUMBER(B5),ABS(C5-B5)&lt;=0.000001*MAX(1,ABS(B5))),EXACT(C5&amp;"",B5&amp;"")))</f>
      </c>
      <c r="E5">
        <f>ISERROR(C5)</f>
      </c>
    </row>
    <row r="6">
      <c r="A6" t="str">
        <v>E6</v>
      </c>
      <c r="B6">
        <v>3</v>
      </c>
      <c r="C6">
        <f>'sinh10'!E6</f>
      </c>
      <c r="D6">
        <f>IF(ISERROR(C6),LEFT(B6&amp;"",1)="#",IF(ISNUMBER(C6),AND(ISNUMBER(B6),ABS(C6-B6)&lt;=0.000001*MAX(1,ABS(B6))),EXACT(C6&amp;"",B6&amp;"")))</f>
      </c>
      <c r="E6">
        <f>ISERROR(C6)</f>
      </c>
    </row>
    <row r="7">
      <c r="A7" t="str">
        <v>E7</v>
      </c>
      <c r="B7">
        <v>3</v>
      </c>
      <c r="C7">
        <f>'sinh10'!E7</f>
      </c>
      <c r="D7">
        <f>IF(ISERROR(C7),LEFT(B7&amp;"",1)="#",IF(ISNUMBER(C7),AND(ISNUMBER(B7),ABS(C7-B7)&lt;=0.000001*MAX(1,ABS(B7))),EXACT(C7&amp;"",B7&amp;"")))</f>
      </c>
      <c r="E7">
        <f>ISERROR(C7)</f>
      </c>
    </row>
    <row r="8">
      <c r="A8" t="str">
        <v>E8</v>
      </c>
      <c r="B8">
        <v>11</v>
      </c>
      <c r="C8">
        <f>'sinh10'!E8</f>
      </c>
      <c r="D8">
        <f>IF(ISERROR(C8),LEFT(B8&amp;"",1)="#",IF(ISNUMBER(C8),AND(ISNUMBER(B8),ABS(C8-B8)&lt;=0.000001*MAX(1,ABS(B8))),EXACT(C8&amp;"",B8&amp;"")))</f>
      </c>
      <c r="E8">
        <f>ISERROR(C8)</f>
      </c>
    </row>
    <row r="9">
      <c r="A9" t="str">
        <v>E9</v>
      </c>
      <c r="B9">
        <v>12</v>
      </c>
      <c r="C9">
        <f>'sinh10'!E9</f>
      </c>
      <c r="D9">
        <f>IF(ISERROR(C9),LEFT(B9&amp;"",1)="#",IF(ISNUMBER(C9),AND(ISNUMBER(B9),ABS(C9-B9)&lt;=0.000001*MAX(1,ABS(B9))),EXACT(C9&amp;"",B9&amp;"")))</f>
      </c>
      <c r="E9">
        <f>ISERROR(C9)</f>
      </c>
    </row>
    <row r="10">
      <c r="A10" t="str">
        <v>E10</v>
      </c>
      <c r="B10">
        <v>8</v>
      </c>
      <c r="C10">
        <f>'sinh10'!E10</f>
      </c>
      <c r="D10">
        <f>IF(ISERROR(C10),LEFT(B10&amp;"",1)="#",IF(ISNUMBER(C10),AND(ISNUMBER(B10),ABS(C10-B10)&lt;=0.000001*MAX(1,ABS(B10))),EXACT(C10&amp;"",B10&amp;"")))</f>
      </c>
      <c r="E10">
        <f>ISERROR(C10)</f>
      </c>
    </row>
    <row r="11">
      <c r="A11" t="str">
        <v>E11</v>
      </c>
      <c r="B11">
        <v>2</v>
      </c>
      <c r="C11">
        <f>'sinh10'!E11</f>
      </c>
      <c r="D11">
        <f>IF(ISERROR(C11),LEFT(B11&amp;"",1)="#",IF(ISNUMBER(C11),AND(ISNUMBER(B11),ABS(C11-B11)&lt;=0.000001*MAX(1,ABS(B11))),EXACT(C11&amp;"",B11&amp;"")))</f>
      </c>
      <c r="E11">
        <f>ISERROR(C11)</f>
      </c>
    </row>
    <row r="12">
      <c r="A12" t="str">
        <v>E12</v>
      </c>
      <c r="B12">
        <v>7</v>
      </c>
      <c r="C12">
        <f>'sinh10'!E12</f>
      </c>
      <c r="D12">
        <f>IF(ISERROR(C12),LEFT(B12&amp;"",1)="#",IF(ISNUMBER(C12),AND(ISNUMBER(B12),ABS(C12-B12)&lt;=0.000001*MAX(1,ABS(B12))),EXACT(C12&amp;"",B12&amp;"")))</f>
      </c>
      <c r="E12">
        <f>ISERROR(C12)</f>
      </c>
    </row>
    <row r="13">
      <c r="A13" t="str">
        <v>E13</v>
      </c>
      <c r="B13">
        <v>5</v>
      </c>
      <c r="C13">
        <f>'sinh10'!E13</f>
      </c>
      <c r="D13">
        <f>IF(ISERROR(C13),LEFT(B13&amp;"",1)="#",IF(ISNUMBER(C13),AND(ISNUMBER(B13),ABS(C13-B13)&lt;=0.000001*MAX(1,ABS(B13))),EXACT(C13&amp;"",B13&amp;"")))</f>
      </c>
      <c r="E13">
        <f>ISERROR(C13)</f>
      </c>
    </row>
    <row r="14">
      <c r="A14" t="str">
        <v>F2</v>
      </c>
      <c r="B14">
        <v>4096000</v>
      </c>
      <c r="C14">
        <f>'sinh10'!F2</f>
      </c>
      <c r="D14">
        <f>IF(ISERROR(C14),LEFT(B14&amp;"",1)="#",IF(ISNUMBER(C14),AND(ISNUMBER(B14),ABS(C14-B14)&lt;=0.000001*MAX(1,ABS(B14))),EXACT(C14&amp;"",B14&amp;"")))</f>
      </c>
      <c r="E14">
        <f>ISERROR(C14)</f>
      </c>
    </row>
    <row r="15">
      <c r="A15" t="str">
        <v>F3</v>
      </c>
      <c r="B15">
        <v>16000</v>
      </c>
      <c r="C15">
        <f>'sinh10'!F3</f>
      </c>
      <c r="D15">
        <f>IF(ISERROR(C15),LEFT(B15&amp;"",1)="#",IF(ISNUMBER(C15),AND(ISNUMBER(B15),ABS(C15-B15)&lt;=0.000001*MAX(1,ABS(B15))),EXACT(C15&amp;"",B15&amp;"")))</f>
      </c>
      <c r="E15">
        <f>ISERROR(C15)</f>
      </c>
    </row>
    <row r="16">
      <c r="A16" t="str">
        <v>F4</v>
      </c>
      <c r="B16">
        <v>204800</v>
      </c>
      <c r="C16">
        <f>'sinh10'!F4</f>
      </c>
      <c r="D16">
        <f>IF(ISERROR(C16),LEFT(B16&amp;"",1)="#",IF(ISNUMBER(C16),AND(ISNUMBER(B16),ABS(C16-B16)&lt;=0.000001*MAX(1,ABS(B16))),EXACT(C16&amp;"",B16&amp;"")))</f>
      </c>
      <c r="E16">
        <f>ISERROR(C16)</f>
      </c>
    </row>
    <row r="17">
      <c r="A17" t="str">
        <v>F5</v>
      </c>
      <c r="B17">
        <v>400</v>
      </c>
      <c r="C17">
        <f>'sinh10'!F5</f>
      </c>
      <c r="D17">
        <f>IF(ISERROR(C17),LEFT(B17&amp;"",1)="#",IF(ISNUMBER(C17),AND(ISNUMBER(B17),ABS(C17-B17)&lt;=0.000001*MAX(1,ABS(B17))),EXACT(C17&amp;"",B17&amp;"")))</f>
      </c>
      <c r="E17">
        <f>ISERROR(C17)</f>
      </c>
    </row>
    <row r="18">
      <c r="A18" t="str">
        <v>F6</v>
      </c>
      <c r="B18">
        <v>4000</v>
      </c>
      <c r="C18">
        <f>'sinh10'!F6</f>
      </c>
      <c r="D18">
        <f>IF(ISERROR(C18),LEFT(B18&amp;"",1)="#",IF(ISNUMBER(C18),AND(ISNUMBER(B18),ABS(C18-B18)&lt;=0.000001*MAX(1,ABS(B18))),EXACT(C18&amp;"",B18&amp;"")))</f>
      </c>
      <c r="E18">
        <f>ISERROR(C18)</f>
      </c>
    </row>
    <row r="19">
      <c r="A19" t="str">
        <v>F7</v>
      </c>
      <c r="B19">
        <v>1600</v>
      </c>
      <c r="C19">
        <f>'sinh10'!F7</f>
      </c>
      <c r="D19">
        <f>IF(ISERROR(C19),LEFT(B19&amp;"",1)="#",IF(ISNUMBER(C19),AND(ISNUMBER(B19),ABS(C19-B19)&lt;=0.000001*MAX(1,ABS(B19))),EXACT(C19&amp;"",B19&amp;"")))</f>
      </c>
      <c r="E19">
        <f>ISERROR(C19)</f>
      </c>
    </row>
    <row r="20">
      <c r="A20" t="str">
        <v>F8</v>
      </c>
      <c r="B20">
        <v>2048000</v>
      </c>
      <c r="C20">
        <f>'sinh10'!F8</f>
      </c>
      <c r="D20">
        <f>IF(ISERROR(C20),LEFT(B20&amp;"",1)="#",IF(ISNUMBER(C20),AND(ISNUMBER(B20),ABS(C20-B20)&lt;=0.000001*MAX(1,ABS(B20))),EXACT(C20&amp;"",B20&amp;"")))</f>
      </c>
      <c r="E20">
        <f>ISERROR(C20)</f>
      </c>
    </row>
    <row r="21">
      <c r="A21" t="str">
        <v>F9</v>
      </c>
      <c r="B21">
        <v>4096000</v>
      </c>
      <c r="C21">
        <f>'sinh10'!F9</f>
      </c>
      <c r="D21">
        <f>IF(ISERROR(C21),LEFT(B21&amp;"",1)="#",IF(ISNUMBER(C21),AND(ISNUMBER(B21),ABS(C21-B21)&lt;=0.000001*MAX(1,ABS(B21))),EXACT(C21&amp;"",B21&amp;"")))</f>
      </c>
      <c r="E21">
        <f>ISERROR(C21)</f>
      </c>
    </row>
    <row r="22">
      <c r="A22" t="str">
        <v>F10</v>
      </c>
      <c r="B22">
        <v>256000</v>
      </c>
      <c r="C22">
        <f>'sinh10'!F10</f>
      </c>
      <c r="D22">
        <f>IF(ISERROR(C22),LEFT(B22&amp;"",1)="#",IF(ISNUMBER(C22),AND(ISNUMBER(B22),ABS(C22-B22)&lt;=0.000001*MAX(1,ABS(B22))),EXACT(C22&amp;"",B22&amp;"")))</f>
      </c>
      <c r="E22">
        <f>ISERROR(C22)</f>
      </c>
    </row>
    <row r="23">
      <c r="A23" t="str">
        <v>F11</v>
      </c>
      <c r="B23">
        <v>800</v>
      </c>
      <c r="C23">
        <f>'sinh10'!F11</f>
      </c>
      <c r="D23">
        <f>IF(ISERROR(C23),LEFT(B23&amp;"",1)="#",IF(ISNUMBER(C23),AND(ISNUMBER(B23),ABS(C23-B23)&lt;=0.000001*MAX(1,ABS(B23))),EXACT(C23&amp;"",B23&amp;"")))</f>
      </c>
      <c r="E23">
        <f>ISERROR(C23)</f>
      </c>
    </row>
    <row r="24">
      <c r="A24" t="str">
        <v>F12</v>
      </c>
      <c r="B24">
        <v>12800</v>
      </c>
      <c r="C24">
        <f>'sinh10'!F12</f>
      </c>
      <c r="D24">
        <f>IF(ISERROR(C24),LEFT(B24&amp;"",1)="#",IF(ISNUMBER(C24),AND(ISNUMBER(B24),ABS(C24-B24)&lt;=0.000001*MAX(1,ABS(B24))),EXACT(C24&amp;"",B24&amp;"")))</f>
      </c>
      <c r="E24">
        <f>ISERROR(C24)</f>
      </c>
    </row>
    <row r="25">
      <c r="A25" t="str">
        <v>F13</v>
      </c>
      <c r="B25">
        <v>32000</v>
      </c>
      <c r="C25">
        <f>'sinh10'!F13</f>
      </c>
      <c r="D25">
        <f>IF(ISERROR(C25),LEFT(B25&amp;"",1)="#",IF(ISNUMBER(C25),AND(ISNUMBER(B25),ABS(C25-B25)&lt;=0.000001*MAX(1,ABS(B25))),EXACT(C25&amp;"",B25&amp;"")))</f>
      </c>
      <c r="E25">
        <f>ISERROR(C25)</f>
      </c>
    </row>
    <row r="26">
      <c r="A26" t="str">
        <v>G2</v>
      </c>
      <c r="B26">
        <v>4096</v>
      </c>
      <c r="C26">
        <f>'sinh10'!G2</f>
      </c>
      <c r="D26">
        <f>IF(ISERROR(C26),LEFT(B26&amp;"",1)="#",IF(ISNUMBER(C26),AND(ISNUMBER(B26),ABS(C26-B26)&lt;=0.000001*MAX(1,ABS(B26))),EXACT(C26&amp;"",B26&amp;"")))</f>
      </c>
      <c r="E26">
        <f>ISERROR(C26)</f>
      </c>
    </row>
    <row r="27">
      <c r="A27" t="str">
        <v>G3</v>
      </c>
      <c r="B27">
        <v>32</v>
      </c>
      <c r="C27">
        <f>'sinh10'!G3</f>
      </c>
      <c r="D27">
        <f>IF(ISERROR(C27),LEFT(B27&amp;"",1)="#",IF(ISNUMBER(C27),AND(ISNUMBER(B27),ABS(C27-B27)&lt;=0.000001*MAX(1,ABS(B27))),EXACT(C27&amp;"",B27&amp;"")))</f>
      </c>
      <c r="E27">
        <f>ISERROR(C27)</f>
      </c>
    </row>
    <row r="28">
      <c r="A28" t="str">
        <v>G4</v>
      </c>
      <c r="B28">
        <v>2048</v>
      </c>
      <c r="C28">
        <f>'sinh10'!G4</f>
      </c>
      <c r="D28">
        <f>IF(ISERROR(C28),LEFT(B28&amp;"",1)="#",IF(ISNUMBER(C28),AND(ISNUMBER(B28),ABS(C28-B28)&lt;=0.000001*MAX(1,ABS(B28))),EXACT(C28&amp;"",B28&amp;"")))</f>
      </c>
      <c r="E28">
        <f>ISERROR(C28)</f>
      </c>
    </row>
    <row r="29">
      <c r="A29" t="str">
        <v>G5</v>
      </c>
      <c r="B29">
        <v>4</v>
      </c>
      <c r="C29">
        <f>'sinh10'!G5</f>
      </c>
      <c r="D29">
        <f>IF(ISERROR(C29),LEFT(B29&amp;"",1)="#",IF(ISNUMBER(C29),AND(ISNUMBER(B29),ABS(C29-B29)&lt;=0.000001*MAX(1,ABS(B29))),EXACT(C29&amp;"",B29&amp;"")))</f>
      </c>
      <c r="E29">
        <f>ISERROR(C29)</f>
      </c>
    </row>
    <row r="30">
      <c r="A30" t="str">
        <v>G6</v>
      </c>
      <c r="B30">
        <v>8</v>
      </c>
      <c r="C30">
        <f>'sinh10'!G6</f>
      </c>
      <c r="D30">
        <f>IF(ISERROR(C30),LEFT(B30&amp;"",1)="#",IF(ISNUMBER(C30),AND(ISNUMBER(B30),ABS(C30-B30)&lt;=0.000001*MAX(1,ABS(B30))),EXACT(C30&amp;"",B30&amp;"")))</f>
      </c>
      <c r="E30">
        <f>ISERROR(C30)</f>
      </c>
    </row>
    <row r="31">
      <c r="A31" t="str">
        <v>G7</v>
      </c>
      <c r="B31">
        <v>8</v>
      </c>
      <c r="C31">
        <f>'sinh10'!G7</f>
      </c>
      <c r="D31">
        <f>IF(ISERROR(C31),LEFT(B31&amp;"",1)="#",IF(ISNUMBER(C31),AND(ISNUMBER(B31),ABS(C31-B31)&lt;=0.000001*MAX(1,ABS(B31))),EXACT(C31&amp;"",B31&amp;"")))</f>
      </c>
      <c r="E31">
        <f>ISERROR(C31)</f>
      </c>
    </row>
    <row r="32">
      <c r="A32" t="str">
        <v>G8</v>
      </c>
      <c r="B32">
        <v>2048</v>
      </c>
      <c r="C32">
        <f>'sinh10'!G8</f>
      </c>
      <c r="D32">
        <f>IF(ISERROR(C32),LEFT(B32&amp;"",1)="#",IF(ISNUMBER(C32),AND(ISNUMBER(B32),ABS(C32-B32)&lt;=0.000001*MAX(1,ABS(B32))),EXACT(C32&amp;"",B32&amp;"")))</f>
      </c>
      <c r="E32">
        <f>ISERROR(C32)</f>
      </c>
    </row>
    <row r="33">
      <c r="A33" t="str">
        <v>G9</v>
      </c>
      <c r="B33">
        <v>4096</v>
      </c>
      <c r="C33">
        <f>'sinh10'!G9</f>
      </c>
      <c r="D33">
        <f>IF(ISERROR(C33),LEFT(B33&amp;"",1)="#",IF(ISNUMBER(C33),AND(ISNUMBER(B33),ABS(C33-B33)&lt;=0.000001*MAX(1,ABS(B33))),EXACT(C33&amp;"",B33&amp;"")))</f>
      </c>
      <c r="E33">
        <f>ISERROR(C33)</f>
      </c>
    </row>
    <row r="34">
      <c r="A34" t="str">
        <v>G10</v>
      </c>
      <c r="B34">
        <v>256</v>
      </c>
      <c r="C34">
        <f>'sinh10'!G10</f>
      </c>
      <c r="D34">
        <f>IF(ISERROR(C34),LEFT(B34&amp;"",1)="#",IF(ISNUMBER(C34),AND(ISNUMBER(B34),ABS(C34-B34)&lt;=0.000001*MAX(1,ABS(B34))),EXACT(C34&amp;"",B34&amp;"")))</f>
      </c>
      <c r="E34">
        <f>ISERROR(C34)</f>
      </c>
    </row>
    <row r="35">
      <c r="A35" t="str">
        <v>G11</v>
      </c>
      <c r="B35">
        <v>4</v>
      </c>
      <c r="C35">
        <f>'sinh10'!G11</f>
      </c>
      <c r="D35">
        <f>IF(ISERROR(C35),LEFT(B35&amp;"",1)="#",IF(ISNUMBER(C35),AND(ISNUMBER(B35),ABS(C35-B35)&lt;=0.000001*MAX(1,ABS(B35))),EXACT(C35&amp;"",B35&amp;"")))</f>
      </c>
      <c r="E35">
        <f>ISERROR(C35)</f>
      </c>
    </row>
    <row r="36">
      <c r="A36" t="str">
        <v>G12</v>
      </c>
      <c r="B36">
        <v>128</v>
      </c>
      <c r="C36">
        <f>'sinh10'!G12</f>
      </c>
      <c r="D36">
        <f>IF(ISERROR(C36),LEFT(B36&amp;"",1)="#",IF(ISNUMBER(C36),AND(ISNUMBER(B36),ABS(C36-B36)&lt;=0.000001*MAX(1,ABS(B36))),EXACT(C36&amp;"",B36&amp;"")))</f>
      </c>
      <c r="E36">
        <f>ISERROR(C36)</f>
      </c>
    </row>
    <row r="37">
      <c r="A37" t="str">
        <v>G13</v>
      </c>
      <c r="B37">
        <v>32</v>
      </c>
      <c r="C37">
        <f>'sinh10'!G13</f>
      </c>
      <c r="D37">
        <f>IF(ISERROR(C37),LEFT(B37&amp;"",1)="#",IF(ISNUMBER(C37),AND(ISNUMBER(B37),ABS(C37-B37)&lt;=0.000001*MAX(1,ABS(B37))),EXACT(C37&amp;"",B37&amp;"")))</f>
      </c>
      <c r="E37">
        <f>ISERROR(C37)</f>
      </c>
    </row>
    <row r="38">
      <c r="A38" t="str">
        <v>H2</v>
      </c>
      <c r="B38" t="str">
        <v>PHAT TRIEN MANH</v>
      </c>
      <c r="C38">
        <f>'sinh10'!H2</f>
      </c>
      <c r="D38">
        <f>IF(ISERROR(C38),LEFT(B38&amp;"",1)="#",IF(ISNUMBER(C38),AND(ISNUMBER(B38),ABS(C38-B38)&lt;=0.000001*MAX(1,ABS(B38))),EXACT(C38&amp;"",B38&amp;"")))</f>
      </c>
      <c r="E38">
        <f>ISERROR(C38)</f>
      </c>
    </row>
    <row r="39">
      <c r="A39" t="str">
        <v>H3</v>
      </c>
      <c r="B39" t="str">
        <v>BINH THUONG</v>
      </c>
      <c r="C39">
        <f>'sinh10'!H3</f>
      </c>
      <c r="D39">
        <f>IF(ISERROR(C39),LEFT(B39&amp;"",1)="#",IF(ISNUMBER(C39),AND(ISNUMBER(B39),ABS(C39-B39)&lt;=0.000001*MAX(1,ABS(B39))),EXACT(C39&amp;"",B39&amp;"")))</f>
      </c>
      <c r="E39">
        <f>ISERROR(C39)</f>
      </c>
    </row>
    <row r="40">
      <c r="A40" t="str">
        <v>H4</v>
      </c>
      <c r="B40" t="str">
        <v>PHAT TRIEN MANH</v>
      </c>
      <c r="C40">
        <f>'sinh10'!H4</f>
      </c>
      <c r="D40">
        <f>IF(ISERROR(C40),LEFT(B40&amp;"",1)="#",IF(ISNUMBER(C40),AND(ISNUMBER(B40),ABS(C40-B40)&lt;=0.000001*MAX(1,ABS(B40))),EXACT(C40&amp;"",B40&amp;"")))</f>
      </c>
      <c r="E40">
        <f>ISERROR(C40)</f>
      </c>
    </row>
    <row r="41">
      <c r="A41" t="str">
        <v>H5</v>
      </c>
      <c r="B41" t="str">
        <v>BINH THUONG</v>
      </c>
      <c r="C41">
        <f>'sinh10'!H5</f>
      </c>
      <c r="D41">
        <f>IF(ISERROR(C41),LEFT(B41&amp;"",1)="#",IF(ISNUMBER(C41),AND(ISNUMBER(B41),ABS(C41-B41)&lt;=0.000001*MAX(1,ABS(B41))),EXACT(C41&amp;"",B41&amp;"")))</f>
      </c>
      <c r="E41">
        <f>ISERROR(C41)</f>
      </c>
    </row>
    <row r="42">
      <c r="A42" t="str">
        <v>H6</v>
      </c>
      <c r="B42" t="str">
        <v>BINH THUONG</v>
      </c>
      <c r="C42">
        <f>'sinh10'!H6</f>
      </c>
      <c r="D42">
        <f>IF(ISERROR(C42),LEFT(B42&amp;"",1)="#",IF(ISNUMBER(C42),AND(ISNUMBER(B42),ABS(C42-B42)&lt;=0.000001*MAX(1,ABS(B42))),EXACT(C42&amp;"",B42&amp;"")))</f>
      </c>
      <c r="E42">
        <f>ISERROR(C42)</f>
      </c>
    </row>
    <row r="43">
      <c r="A43" t="str">
        <v>H7</v>
      </c>
      <c r="B43" t="str">
        <v>BINH THUONG</v>
      </c>
      <c r="C43">
        <f>'sinh10'!H7</f>
      </c>
      <c r="D43">
        <f>IF(ISERROR(C43),LEFT(B43&amp;"",1)="#",IF(ISNUMBER(C43),AND(ISNUMBER(B43),ABS(C43-B43)&lt;=0.000001*MAX(1,ABS(B43))),EXACT(C43&amp;"",B43&amp;"")))</f>
      </c>
      <c r="E43">
        <f>ISERROR(C43)</f>
      </c>
    </row>
    <row r="44">
      <c r="A44" t="str">
        <v>H8</v>
      </c>
      <c r="B44" t="str">
        <v>PHAT TRIEN MANH</v>
      </c>
      <c r="C44">
        <f>'sinh10'!H8</f>
      </c>
      <c r="D44">
        <f>IF(ISERROR(C44),LEFT(B44&amp;"",1)="#",IF(ISNUMBER(C44),AND(ISNUMBER(B44),ABS(C44-B44)&lt;=0.000001*MAX(1,ABS(B44))),EXACT(C44&amp;"",B44&amp;"")))</f>
      </c>
      <c r="E44">
        <f>ISERROR(C44)</f>
      </c>
    </row>
    <row r="45">
      <c r="A45" t="str">
        <v>H9</v>
      </c>
      <c r="B45" t="str">
        <v>PHAT TRIEN MANH</v>
      </c>
      <c r="C45">
        <f>'sinh10'!H9</f>
      </c>
      <c r="D45">
        <f>IF(ISERROR(C45),LEFT(B45&amp;"",1)="#",IF(ISNUMBER(C45),AND(ISNUMBER(B45),ABS(C45-B45)&lt;=0.000001*MAX(1,ABS(B45))),EXACT(C45&amp;"",B45&amp;"")))</f>
      </c>
      <c r="E45">
        <f>ISERROR(C45)</f>
      </c>
    </row>
    <row r="46">
      <c r="A46" t="str">
        <v>H10</v>
      </c>
      <c r="B46" t="str">
        <v>PHAT TRIEN MANH</v>
      </c>
      <c r="C46">
        <f>'sinh10'!H10</f>
      </c>
      <c r="D46">
        <f>IF(ISERROR(C46),LEFT(B46&amp;"",1)="#",IF(ISNUMBER(C46),AND(ISNUMBER(B46),ABS(C46-B46)&lt;=0.000001*MAX(1,ABS(B46))),EXACT(C46&amp;"",B46&amp;"")))</f>
      </c>
      <c r="E46">
        <f>ISERROR(C46)</f>
      </c>
    </row>
    <row r="47">
      <c r="A47" t="str">
        <v>H11</v>
      </c>
      <c r="B47" t="str">
        <v>BINH THUONG</v>
      </c>
      <c r="C47">
        <f>'sinh10'!H11</f>
      </c>
      <c r="D47">
        <f>IF(ISERROR(C47),LEFT(B47&amp;"",1)="#",IF(ISNUMBER(C47),AND(ISNUMBER(B47),ABS(C47-B47)&lt;=0.000001*MAX(1,ABS(B47))),EXACT(C47&amp;"",B47&amp;"")))</f>
      </c>
      <c r="E47">
        <f>ISERROR(C47)</f>
      </c>
    </row>
    <row r="48">
      <c r="A48" t="str">
        <v>H12</v>
      </c>
      <c r="B48" t="str">
        <v>BINH THUONG</v>
      </c>
      <c r="C48">
        <f>'sinh10'!H12</f>
      </c>
      <c r="D48">
        <f>IF(ISERROR(C48),LEFT(B48&amp;"",1)="#",IF(ISNUMBER(C48),AND(ISNUMBER(B48),ABS(C48-B48)&lt;=0.000001*MAX(1,ABS(B48))),EXACT(C48&amp;"",B48&amp;"")))</f>
      </c>
      <c r="E48">
        <f>ISERROR(C48)</f>
      </c>
    </row>
    <row r="49">
      <c r="A49" t="str">
        <v>H13</v>
      </c>
      <c r="B49" t="str">
        <v>PHAT TRIEN MANH</v>
      </c>
      <c r="C49">
        <f>'sinh10'!H13</f>
      </c>
      <c r="D49">
        <f>IF(ISERROR(C49),LEFT(B49&amp;"",1)="#",IF(ISNUMBER(C49),AND(ISNUMBER(B49),ABS(C49-B49)&lt;=0.000001*MAX(1,ABS(B49))),EXACT(C49&amp;"",B49&amp;"")))</f>
      </c>
      <c r="E49">
        <f>ISERROR(C49)</f>
      </c>
    </row>
    <row r="50">
      <c r="A50" t="str">
        <v>Z2</v>
      </c>
      <c r="B50" t="str">
        <v>VS01</v>
      </c>
      <c r="C50">
        <f>'sinh10'!Z2</f>
      </c>
      <c r="D50">
        <f>IF(ISERROR(C50),LEFT(B50&amp;"",1)="#",IF(ISNUMBER(C50),AND(ISNUMBER(B50),ABS(C50-B50)&lt;=0.000001*MAX(1,ABS(B50))),EXACT(C50&amp;"",B50&amp;"")))</f>
      </c>
      <c r="E50">
        <f>ISERROR(C50)</f>
      </c>
    </row>
    <row r="51">
      <c r="A51" t="str">
        <v>Z3</v>
      </c>
      <c r="B51">
        <v>10732800</v>
      </c>
      <c r="C51">
        <f>'sinh10'!Z3</f>
      </c>
      <c r="D51">
        <f>IF(ISERROR(C51),LEFT(B51&amp;"",1)="#",IF(ISNUMBER(C51),AND(ISNUMBER(B51),ABS(C51-B51)&lt;=0.000001*MAX(1,ABS(B51))),EXACT(C51&amp;"",B51&amp;"")))</f>
      </c>
      <c r="E51">
        <f>ISERROR(C51)</f>
      </c>
    </row>
    <row r="52">
      <c r="A52" t="str">
        <v>Z4</v>
      </c>
      <c r="B52">
        <v>6</v>
      </c>
      <c r="C52">
        <f>'sinh10'!Z4</f>
      </c>
      <c r="D52">
        <f>IF(ISERROR(C52),LEFT(B52&amp;"",1)="#",IF(ISNUMBER(C52),AND(ISNUMBER(B52),ABS(C52-B52)&lt;=0.000001*MAX(1,ABS(B52))),EXACT(C52&amp;"",B52&amp;"")))</f>
      </c>
      <c r="E52">
        <f>ISERROR(C52)</f>
      </c>
    </row>
    <row r="53">
      <c r="A53" t="str">
        <v>Z5</v>
      </c>
      <c r="B53">
        <v>3.6666666666666665</v>
      </c>
      <c r="C53">
        <f>'sinh10'!Z5</f>
      </c>
      <c r="D53">
        <f>IF(ISERROR(C53),LEFT(B53&amp;"",1)="#",IF(ISNUMBER(C53),AND(ISNUMBER(B53),ABS(C53-B53)&lt;=0.000001*MAX(1,ABS(B53))),EXACT(C53&amp;"",B53&amp;"")))</f>
      </c>
      <c r="E53">
        <f>ISERROR(C53)</f>
      </c>
    </row>
    <row r="54">
      <c r="A54" t="str">
        <v>Z6</v>
      </c>
      <c r="B54">
        <v>4096000</v>
      </c>
      <c r="C54">
        <f>'sinh10'!Z6</f>
      </c>
      <c r="D54">
        <f>IF(ISERROR(C54),LEFT(B54&amp;"",1)="#",IF(ISNUMBER(C54),AND(ISNUMBER(B54),ABS(C54-B54)&lt;=0.000001*MAX(1,ABS(B54))),EXACT(C54&amp;"",B54&amp;"")))</f>
      </c>
      <c r="E54">
        <f>ISERROR(C54)</f>
      </c>
    </row>
    <row r="55">
      <c r="A55" t="str">
        <v>Z7</v>
      </c>
      <c r="B55">
        <v>24000</v>
      </c>
      <c r="C55">
        <f>'sinh10'!Z7</f>
      </c>
      <c r="D55">
        <f>IF(ISERROR(C55),LEFT(B55&amp;"",1)="#",IF(ISNUMBER(C55),AND(ISNUMBER(B55),ABS(C55-B55)&lt;=0.000001*MAX(1,ABS(B55))),EXACT(C55&amp;"",B55&amp;"")))</f>
      </c>
      <c r="E55">
        <f>ISERROR(C55)</f>
      </c>
    </row>
    <row r="56">
      <c r="A56" t="str">
        <v>Z8</v>
      </c>
      <c r="B56">
        <v>4096000</v>
      </c>
      <c r="C56">
        <f>'sinh10'!Z8</f>
      </c>
      <c r="D56">
        <f>IF(ISERROR(C56),LEFT(B56&amp;"",1)="#",IF(ISNUMBER(C56),AND(ISNUMBER(B56),ABS(C56-B56)&lt;=0.000001*MAX(1,ABS(B56))),EXACT(C56&amp;"",B56&amp;"")))</f>
      </c>
      <c r="E56">
        <f>ISERROR(C56)</f>
      </c>
    </row>
    <row r="57">
      <c r="A57" t="str">
        <v>Z9</v>
      </c>
      <c r="B57">
        <v>3.96</v>
      </c>
      <c r="C57">
        <f>'sinh10'!Z9</f>
      </c>
      <c r="D57">
        <f>IF(ISERROR(C57),LEFT(B57&amp;"",1)="#",IF(ISNUMBER(C57),AND(ISNUMBER(B57),ABS(C57-B57)&lt;=0.000001*MAX(1,ABS(B57))),EXACT(C57&amp;"",B57&amp;"")))</f>
      </c>
      <c r="E57">
        <f>ISERROR(C57)</f>
      </c>
    </row>
    <row r="58">
      <c r="A58" t="str">
        <v>Z10</v>
      </c>
      <c r="B58">
        <v>10732800</v>
      </c>
      <c r="C58">
        <f>'sinh10'!Z10</f>
      </c>
      <c r="D58">
        <f>IF(ISERROR(C58),LEFT(B58&amp;"",1)="#",IF(ISNUMBER(C58),AND(ISNUMBER(B58),ABS(C58-B58)&lt;=0.000001*MAX(1,ABS(B58))),EXACT(C58&amp;"",B58&amp;"")))</f>
      </c>
      <c r="E58">
        <f>ISERROR(C58)</f>
      </c>
    </row>
    <row r="59">
      <c r="A59" t="str">
        <v>Z11</v>
      </c>
      <c r="B59">
        <v>6</v>
      </c>
      <c r="C59">
        <f>'sinh10'!Z11</f>
      </c>
      <c r="D59">
        <f>IF(ISERROR(C59),LEFT(B59&amp;"",1)="#",IF(ISNUMBER(C59),AND(ISNUMBER(B59),ABS(C59-B59)&lt;=0.000001*MAX(1,ABS(B59))),EXACT(C59&amp;"",B59&amp;"")))</f>
      </c>
      <c r="E59">
        <f>ISERROR(C59)</f>
      </c>
    </row>
    <row r="60">
      <c r="A60" t="str">
        <v>Z12</v>
      </c>
      <c r="B60">
        <v>10732800</v>
      </c>
      <c r="C60">
        <f>'sinh10'!Z12</f>
      </c>
      <c r="D60">
        <f>IF(ISERROR(C60),LEFT(B60&amp;"",1)="#",IF(ISNUMBER(C60),AND(ISNUMBER(B60),ABS(C60-B60)&lt;=0.000001*MAX(1,ABS(B60))),EXACT(C60&amp;"",B60&amp;"")))</f>
      </c>
      <c r="E60">
        <f>ISERROR(C60)</f>
      </c>
    </row>
    <row r="61">
      <c r="A61" t="str">
        <v>Z13</v>
      </c>
      <c r="B61">
        <v>1336000</v>
      </c>
      <c r="C61">
        <f>'sinh10'!Z13</f>
      </c>
      <c r="D61">
        <f>IF(ISERROR(C61),LEFT(B61&amp;"",1)="#",IF(ISNUMBER(C61),AND(ISNUMBER(B61),ABS(C61-B61)&lt;=0.000001*MAX(1,ABS(B61))),EXACT(C61&amp;"",B61&amp;"")))</f>
      </c>
      <c r="E61">
        <f>ISERROR(C61)</f>
      </c>
    </row>
  </sheetData>
  <ignoredErrors>
    <ignoredError numberStoredAsText="1" sqref="A1:E61"/>
  </ignoredErrors>
</worksheet>
</file>

<file path=xl/worksheets/sheet3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MaHV</v>
      </c>
      <c r="B1" t="str">
        <v>CauMau</v>
      </c>
      <c r="C1" t="str">
        <v>Listening</v>
      </c>
      <c r="D1" t="str">
        <v>Reading</v>
      </c>
      <c r="E1" t="str">
        <v>NgayThi</v>
      </c>
      <c r="F1" t="str">
        <v>Cap</v>
      </c>
      <c r="G1" t="str">
        <v>STT</v>
      </c>
      <c r="H1" t="str">
        <v>CauChuan</v>
      </c>
      <c r="I1" t="str">
        <v>SoTu</v>
      </c>
      <c r="J1" t="str">
        <v>TuDau</v>
      </c>
      <c r="K1" t="str">
        <v>Tong</v>
      </c>
      <c r="L1" t="str">
        <v>DiemMuc</v>
      </c>
      <c r="M1" t="str">
        <v>KetQua</v>
      </c>
      <c r="N1" t="str">
        <v>HetHan</v>
      </c>
      <c r="O1" t="str">
        <v>SoNgayConLai</v>
      </c>
      <c r="R1" t="str">
        <v>Cap</v>
      </c>
      <c r="S1" t="str">
        <v>DiemMuc</v>
      </c>
      <c r="T1" t="str">
        <v>NgayTinh</v>
      </c>
      <c r="U1" s="1">
        <v>46327</v>
      </c>
      <c r="W1" t="str">
        <v>Cap</v>
      </c>
      <c r="Y1" t="str">
        <v>TongHop</v>
      </c>
      <c r="Z1" t="str">
        <v>KetQua</v>
      </c>
    </row>
    <row r="2">
      <c r="A2" t="str">
        <v>B1-001</v>
      </c>
      <c r="B2" t="str">
        <v xml:space="preserve">  i  like  learning  english </v>
      </c>
      <c r="C2">
        <v>290</v>
      </c>
      <c r="D2">
        <v>120</v>
      </c>
      <c r="E2" s="1">
        <v>46300</v>
      </c>
      <c r="F2" t="str">
        <f>LEFT(A2,2)</f>
        <v>B1</v>
      </c>
      <c r="G2">
        <f>VALUE(RIGHT(A2,3))</f>
        <v>1</v>
      </c>
      <c r="H2" t="str">
        <f>PROPER(TRIM(B2))</f>
        <v>I Like Learning English</v>
      </c>
      <c r="I2">
        <f>LEN(TRIM(B2))-LEN(SUBSTITUTE(TRIM(B2)," ",""))+1</f>
        <v>4</v>
      </c>
      <c r="J2" t="str">
        <f>LEFT(H2,FIND(" ",H2)-1)</f>
        <v>I</v>
      </c>
      <c r="K2">
        <f>C2+D2</f>
        <v>410</v>
      </c>
      <c r="L2">
        <f>VLOOKUP(F2,$R$2:$S$4,2,FALSE)</f>
        <v>450</v>
      </c>
      <c r="M2" t="str">
        <f>IF(K2&gt;=L2,"DAT","CHUA DAT")</f>
        <v>CHUA DAT</v>
      </c>
      <c r="N2" s="1">
        <f>EDATE(E2,24)</f>
        <v>47031</v>
      </c>
      <c r="O2">
        <f>N2-$U$1</f>
        <v>704</v>
      </c>
      <c r="R2" t="str">
        <v>B1</v>
      </c>
      <c r="S2">
        <v>450</v>
      </c>
      <c r="W2" t="str">
        <v>B2</v>
      </c>
      <c r="Y2" t="str">
        <v>Ma HV co Tong cao nhat</v>
      </c>
      <c r="Z2" t="str">
        <f>INDEX(A2:A13,MATCH(MAX(K2:K13),K2:K13,0))</f>
        <v>C1-006</v>
      </c>
    </row>
    <row r="3">
      <c r="A3" t="str">
        <v>B2-002</v>
      </c>
      <c r="B3" t="str">
        <v>THANK YOU VERY MUCH</v>
      </c>
      <c r="C3">
        <v>450</v>
      </c>
      <c r="D3">
        <v>220</v>
      </c>
      <c r="E3" s="1">
        <v>46314</v>
      </c>
      <c r="F3" t="str">
        <f>LEFT(A3,2)</f>
        <v>B2</v>
      </c>
      <c r="G3">
        <f>VALUE(RIGHT(A3,3))</f>
        <v>2</v>
      </c>
      <c r="H3" t="str">
        <f>PROPER(TRIM(B3))</f>
        <v>Thank You Very Much</v>
      </c>
      <c r="I3">
        <f>LEN(TRIM(B3))-LEN(SUBSTITUTE(TRIM(B3)," ",""))+1</f>
        <v>4</v>
      </c>
      <c r="J3" t="str">
        <f>LEFT(H3,FIND(" ",H3)-1)</f>
        <v>Thank</v>
      </c>
      <c r="K3">
        <f>C3+D3</f>
        <v>670</v>
      </c>
      <c r="L3">
        <f>VLOOKUP(F3,$R$2:$S$4,2,FALSE)</f>
        <v>600</v>
      </c>
      <c r="M3" t="str">
        <f>IF(K3&gt;=L3,"DAT","CHUA DAT")</f>
        <v>DAT</v>
      </c>
      <c r="N3" s="1">
        <f>EDATE(E3,24)</f>
        <v>47045</v>
      </c>
      <c r="O3">
        <f>N3-$U$1</f>
        <v>718</v>
      </c>
      <c r="R3" t="str">
        <v>B2</v>
      </c>
      <c r="S3">
        <v>600</v>
      </c>
      <c r="Y3" t="str">
        <v>Tong diem cap B1</v>
      </c>
      <c r="Z3">
        <f>SUMIF(F2:F13,"B1",K2:K13)</f>
        <v>1240</v>
      </c>
    </row>
    <row r="4">
      <c r="A4" t="str">
        <v>C1-003</v>
      </c>
      <c r="B4" t="str">
        <v xml:space="preserve">  how  are  you  today </v>
      </c>
      <c r="C4">
        <v>240</v>
      </c>
      <c r="D4">
        <v>430</v>
      </c>
      <c r="E4" s="1">
        <v>46315</v>
      </c>
      <c r="F4" t="str">
        <f>LEFT(A4,2)</f>
        <v>C1</v>
      </c>
      <c r="G4">
        <f>VALUE(RIGHT(A4,3))</f>
        <v>3</v>
      </c>
      <c r="H4" t="str">
        <f>PROPER(TRIM(B4))</f>
        <v>How Are You Today</v>
      </c>
      <c r="I4">
        <f>LEN(TRIM(B4))-LEN(SUBSTITUTE(TRIM(B4)," ",""))+1</f>
        <v>4</v>
      </c>
      <c r="J4" t="str">
        <f>LEFT(H4,FIND(" ",H4)-1)</f>
        <v>How</v>
      </c>
      <c r="K4">
        <f>C4+D4</f>
        <v>670</v>
      </c>
      <c r="L4">
        <f>VLOOKUP(F4,$R$2:$S$4,2,FALSE)</f>
        <v>785</v>
      </c>
      <c r="M4" t="str">
        <f>IF(K4&gt;=L4,"DAT","CHUA DAT")</f>
        <v>CHUA DAT</v>
      </c>
      <c r="N4" s="1">
        <f>EDATE(E4,24)</f>
        <v>47046</v>
      </c>
      <c r="O4">
        <f>N4-$U$1</f>
        <v>719</v>
      </c>
      <c r="R4" t="str">
        <v>C1</v>
      </c>
      <c r="S4">
        <v>785</v>
      </c>
      <c r="Y4" t="str">
        <v>So HV cap B2 DAT</v>
      </c>
      <c r="Z4">
        <f>COUNTIFS(F2:F13,"B2",M2:M13,"DAT")</f>
        <v>1</v>
      </c>
    </row>
    <row r="5">
      <c r="A5" t="str">
        <v>C1-004</v>
      </c>
      <c r="B5" t="str">
        <v>THIS BOOK IS VERY USEFUL</v>
      </c>
      <c r="C5">
        <v>445</v>
      </c>
      <c r="D5">
        <v>190</v>
      </c>
      <c r="E5" s="1">
        <v>46320</v>
      </c>
      <c r="F5" t="str">
        <f>LEFT(A5,2)</f>
        <v>C1</v>
      </c>
      <c r="G5">
        <f>VALUE(RIGHT(A5,3))</f>
        <v>4</v>
      </c>
      <c r="H5" t="str">
        <f>PROPER(TRIM(B5))</f>
        <v>This Book Is Very Useful</v>
      </c>
      <c r="I5">
        <f>LEN(TRIM(B5))-LEN(SUBSTITUTE(TRIM(B5)," ",""))+1</f>
        <v>5</v>
      </c>
      <c r="J5" t="str">
        <f>LEFT(H5,FIND(" ",H5)-1)</f>
        <v>This</v>
      </c>
      <c r="K5">
        <f>C5+D5</f>
        <v>635</v>
      </c>
      <c r="L5">
        <f>VLOOKUP(F5,$R$2:$S$4,2,FALSE)</f>
        <v>785</v>
      </c>
      <c r="M5" t="str">
        <f>IF(K5&gt;=L5,"DAT","CHUA DAT")</f>
        <v>CHUA DAT</v>
      </c>
      <c r="N5" s="1">
        <f>EDATE(E5,24)</f>
        <v>47051</v>
      </c>
      <c r="O5">
        <f>N5-$U$1</f>
        <v>724</v>
      </c>
      <c r="Y5" t="str">
        <v>Reading TB cap C1</v>
      </c>
      <c r="Z5">
        <f>AVERAGEIF(F2:F13,"C1",D2:D13)</f>
        <v>340</v>
      </c>
    </row>
    <row r="6">
      <c r="A6" t="str">
        <v>B2-005</v>
      </c>
      <c r="B6" t="str">
        <v>GOOD MORNING EVERYONE</v>
      </c>
      <c r="C6">
        <v>225</v>
      </c>
      <c r="D6">
        <v>325</v>
      </c>
      <c r="E6" s="1">
        <v>46299</v>
      </c>
      <c r="F6" t="str">
        <f>LEFT(A6,2)</f>
        <v>B2</v>
      </c>
      <c r="G6">
        <f>VALUE(RIGHT(A6,3))</f>
        <v>5</v>
      </c>
      <c r="H6" t="str">
        <f>PROPER(TRIM(B6))</f>
        <v>Good Morning Everyone</v>
      </c>
      <c r="I6">
        <f>LEN(TRIM(B6))-LEN(SUBSTITUTE(TRIM(B6)," ",""))+1</f>
        <v>3</v>
      </c>
      <c r="J6" t="str">
        <f>LEFT(H6,FIND(" ",H6)-1)</f>
        <v>Good</v>
      </c>
      <c r="K6">
        <f>C6+D6</f>
        <v>550</v>
      </c>
      <c r="L6">
        <f>VLOOKUP(F6,$R$2:$S$4,2,FALSE)</f>
        <v>600</v>
      </c>
      <c r="M6" t="str">
        <f>IF(K6&gt;=L6,"DAT","CHUA DAT")</f>
        <v>CHUA DAT</v>
      </c>
      <c r="N6" s="1">
        <f>EDATE(E6,24)</f>
        <v>47030</v>
      </c>
      <c r="O6">
        <f>N6-$U$1</f>
        <v>703</v>
      </c>
      <c r="Y6" t="str">
        <v>Listening cao nhat cap B1</v>
      </c>
      <c r="Z6">
        <f>_xlfn.MAXIFS(C2:C13,F2:F13,"B1")</f>
        <v>345</v>
      </c>
    </row>
    <row r="7">
      <c r="A7" t="str">
        <v>C1-006</v>
      </c>
      <c r="B7" t="str">
        <v xml:space="preserve">  the  weather  is  nice  today </v>
      </c>
      <c r="C7">
        <v>495</v>
      </c>
      <c r="D7">
        <v>375</v>
      </c>
      <c r="E7" s="1">
        <v>46317</v>
      </c>
      <c r="F7" t="str">
        <f>LEFT(A7,2)</f>
        <v>C1</v>
      </c>
      <c r="G7">
        <f>VALUE(RIGHT(A7,3))</f>
        <v>6</v>
      </c>
      <c r="H7" t="str">
        <f>PROPER(TRIM(B7))</f>
        <v>The Weather Is Nice Today</v>
      </c>
      <c r="I7">
        <f>LEN(TRIM(B7))-LEN(SUBSTITUTE(TRIM(B7)," ",""))+1</f>
        <v>5</v>
      </c>
      <c r="J7" t="str">
        <f>LEFT(H7,FIND(" ",H7)-1)</f>
        <v>The</v>
      </c>
      <c r="K7">
        <f>C7+D7</f>
        <v>870</v>
      </c>
      <c r="L7">
        <f>VLOOKUP(F7,$R$2:$S$4,2,FALSE)</f>
        <v>785</v>
      </c>
      <c r="M7" t="str">
        <f>IF(K7&gt;=L7,"DAT","CHUA DAT")</f>
        <v>DAT</v>
      </c>
      <c r="N7" s="1">
        <f>EDATE(E7,24)</f>
        <v>47048</v>
      </c>
      <c r="O7">
        <f>N7-$U$1</f>
        <v>721</v>
      </c>
      <c r="Y7" t="str">
        <v>Tong trung vi</v>
      </c>
      <c r="Z7">
        <f>MEDIAN(K2:K13)</f>
        <v>590</v>
      </c>
    </row>
    <row r="8">
      <c r="A8" t="str">
        <v>C1-007</v>
      </c>
      <c r="B8" t="str">
        <v>can you help me please</v>
      </c>
      <c r="C8">
        <v>260</v>
      </c>
      <c r="D8">
        <v>460</v>
      </c>
      <c r="E8" s="1">
        <v>46301</v>
      </c>
      <c r="F8" t="str">
        <f>LEFT(A8,2)</f>
        <v>C1</v>
      </c>
      <c r="G8">
        <f>VALUE(RIGHT(A8,3))</f>
        <v>7</v>
      </c>
      <c r="H8" t="str">
        <f>PROPER(TRIM(B8))</f>
        <v>Can You Help Me Please</v>
      </c>
      <c r="I8">
        <f>LEN(TRIM(B8))-LEN(SUBSTITUTE(TRIM(B8)," ",""))+1</f>
        <v>5</v>
      </c>
      <c r="J8" t="str">
        <f>LEFT(H8,FIND(" ",H8)-1)</f>
        <v>Can</v>
      </c>
      <c r="K8">
        <f>C8+D8</f>
        <v>720</v>
      </c>
      <c r="L8">
        <f>VLOOKUP(F8,$R$2:$S$4,2,FALSE)</f>
        <v>785</v>
      </c>
      <c r="M8" t="str">
        <f>IF(K8&gt;=L8,"DAT","CHUA DAT")</f>
        <v>CHUA DAT</v>
      </c>
      <c r="N8" s="1">
        <f>EDATE(E8,24)</f>
        <v>47032</v>
      </c>
      <c r="O8">
        <f>N8-$U$1</f>
        <v>705</v>
      </c>
      <c r="Y8" t="str">
        <v>Tong lon thu hai</v>
      </c>
      <c r="Z8">
        <f>LARGE(K2:K13,2)</f>
        <v>720</v>
      </c>
    </row>
    <row r="9">
      <c r="A9" t="str">
        <v>B1-008</v>
      </c>
      <c r="B9" t="str">
        <v xml:space="preserve">  good  morning  everyone </v>
      </c>
      <c r="C9">
        <v>345</v>
      </c>
      <c r="D9">
        <v>155</v>
      </c>
      <c r="E9" s="1">
        <v>46317</v>
      </c>
      <c r="F9" t="str">
        <f>LEFT(A9,2)</f>
        <v>B1</v>
      </c>
      <c r="G9">
        <f>VALUE(RIGHT(A9,3))</f>
        <v>8</v>
      </c>
      <c r="H9" t="str">
        <f>PROPER(TRIM(B9))</f>
        <v>Good Morning Everyone</v>
      </c>
      <c r="I9">
        <f>LEN(TRIM(B9))-LEN(SUBSTITUTE(TRIM(B9)," ",""))+1</f>
        <v>3</v>
      </c>
      <c r="J9" t="str">
        <f>LEFT(H9,FIND(" ",H9)-1)</f>
        <v>Good</v>
      </c>
      <c r="K9">
        <f>C9+D9</f>
        <v>500</v>
      </c>
      <c r="L9">
        <f>VLOOKUP(F9,$R$2:$S$4,2,FALSE)</f>
        <v>450</v>
      </c>
      <c r="M9" t="str">
        <f>IF(K9&gt;=L9,"DAT","CHUA DAT")</f>
        <v>DAT</v>
      </c>
      <c r="N9" s="1">
        <f>EDATE(E9,24)</f>
        <v>47048</v>
      </c>
      <c r="O9">
        <f>N9-$U$1</f>
        <v>721</v>
      </c>
      <c r="Y9" t="str">
        <v>Do lech chuan Tong</v>
      </c>
      <c r="Z9">
        <f>ROUND(STDEV(K2:K13),2)</f>
        <v>157.12</v>
      </c>
    </row>
    <row r="10">
      <c r="A10" t="str">
        <v>B2-009</v>
      </c>
      <c r="B10" t="str">
        <v xml:space="preserve">  see  you  next  week </v>
      </c>
      <c r="C10">
        <v>150</v>
      </c>
      <c r="D10">
        <v>310</v>
      </c>
      <c r="E10" s="1">
        <v>46314</v>
      </c>
      <c r="F10" t="str">
        <f>LEFT(A10,2)</f>
        <v>B2</v>
      </c>
      <c r="G10">
        <f>VALUE(RIGHT(A10,3))</f>
        <v>9</v>
      </c>
      <c r="H10" t="str">
        <f>PROPER(TRIM(B10))</f>
        <v>See You Next Week</v>
      </c>
      <c r="I10">
        <f>LEN(TRIM(B10))-LEN(SUBSTITUTE(TRIM(B10)," ",""))+1</f>
        <v>4</v>
      </c>
      <c r="J10" t="str">
        <f>LEFT(H10,FIND(" ",H10)-1)</f>
        <v>See</v>
      </c>
      <c r="K10">
        <f>C10+D10</f>
        <v>460</v>
      </c>
      <c r="L10">
        <f>VLOOKUP(F10,$R$2:$S$4,2,FALSE)</f>
        <v>600</v>
      </c>
      <c r="M10" t="str">
        <f>IF(K10&gt;=L10,"DAT","CHUA DAT")</f>
        <v>CHUA DAT</v>
      </c>
      <c r="N10" s="1">
        <f>EDATE(E10,24)</f>
        <v>47045</v>
      </c>
      <c r="O10">
        <f>N10-$U$1</f>
        <v>718</v>
      </c>
      <c r="Y10" t="str">
        <v>Tong TB theo tieu chi W1:W2</v>
      </c>
      <c r="Z10">
        <f>DAVERAGE(A1:O13,"Tong",W1:W2)</f>
        <v>560</v>
      </c>
    </row>
    <row r="11">
      <c r="A11" t="str">
        <v>C1-010</v>
      </c>
      <c r="B11" t="str">
        <v xml:space="preserve">  good  morning  everyone </v>
      </c>
      <c r="C11">
        <v>285</v>
      </c>
      <c r="D11">
        <v>345</v>
      </c>
      <c r="E11" s="1">
        <v>46302</v>
      </c>
      <c r="F11" t="str">
        <f>LEFT(A11,2)</f>
        <v>C1</v>
      </c>
      <c r="G11">
        <f>VALUE(RIGHT(A11,3))</f>
        <v>10</v>
      </c>
      <c r="H11" t="str">
        <f>PROPER(TRIM(B11))</f>
        <v>Good Morning Everyone</v>
      </c>
      <c r="I11">
        <f>LEN(TRIM(B11))-LEN(SUBSTITUTE(TRIM(B11)," ",""))+1</f>
        <v>3</v>
      </c>
      <c r="J11" t="str">
        <f>LEFT(H11,FIND(" ",H11)-1)</f>
        <v>Good</v>
      </c>
      <c r="K11">
        <f>C11+D11</f>
        <v>630</v>
      </c>
      <c r="L11">
        <f>VLOOKUP(F11,$R$2:$S$4,2,FALSE)</f>
        <v>785</v>
      </c>
      <c r="M11" t="str">
        <f>IF(K11&gt;=L11,"DAT","CHUA DAT")</f>
        <v>CHUA DAT</v>
      </c>
      <c r="N11" s="1">
        <f>EDATE(E11,24)</f>
        <v>47033</v>
      </c>
      <c r="O11">
        <f>N11-$U$1</f>
        <v>706</v>
      </c>
      <c r="Y11" t="str">
        <v>So HV theo tieu chi W1:W2</v>
      </c>
      <c r="Z11">
        <f>DCOUNT(A1:O13,"Tong",W1:W2)</f>
        <v>3</v>
      </c>
    </row>
    <row r="12">
      <c r="A12" t="str">
        <v>C1-011</v>
      </c>
      <c r="B12" t="str">
        <v>THE WEATHER IS NICE TODAY</v>
      </c>
      <c r="C12">
        <v>155</v>
      </c>
      <c r="D12">
        <v>240</v>
      </c>
      <c r="E12" s="1">
        <v>46314</v>
      </c>
      <c r="F12" t="str">
        <f>LEFT(A12,2)</f>
        <v>C1</v>
      </c>
      <c r="G12">
        <f>VALUE(RIGHT(A12,3))</f>
        <v>11</v>
      </c>
      <c r="H12" t="str">
        <f>PROPER(TRIM(B12))</f>
        <v>The Weather Is Nice Today</v>
      </c>
      <c r="I12">
        <f>LEN(TRIM(B12))-LEN(SUBSTITUTE(TRIM(B12)," ",""))+1</f>
        <v>5</v>
      </c>
      <c r="J12" t="str">
        <f>LEFT(H12,FIND(" ",H12)-1)</f>
        <v>The</v>
      </c>
      <c r="K12">
        <f>C12+D12</f>
        <v>395</v>
      </c>
      <c r="L12">
        <f>VLOOKUP(F12,$R$2:$S$4,2,FALSE)</f>
        <v>785</v>
      </c>
      <c r="M12" t="str">
        <f>IF(K12&gt;=L12,"DAT","CHUA DAT")</f>
        <v>CHUA DAT</v>
      </c>
      <c r="N12" s="1">
        <f>EDATE(E12,24)</f>
        <v>47045</v>
      </c>
      <c r="O12">
        <f>N12-$U$1</f>
        <v>718</v>
      </c>
      <c r="Y12" t="str">
        <v>Tong diem HV DAT</v>
      </c>
      <c r="Z12">
        <f>SUMPRODUCT((M2:M13="DAT")*K2:K13)</f>
        <v>2040</v>
      </c>
    </row>
    <row r="13">
      <c r="A13" t="str">
        <v>B1-012</v>
      </c>
      <c r="B13" t="str">
        <v>my favourite subject is music</v>
      </c>
      <c r="C13">
        <v>160</v>
      </c>
      <c r="D13">
        <v>170</v>
      </c>
      <c r="E13" s="1">
        <v>46318</v>
      </c>
      <c r="F13" t="str">
        <f>LEFT(A13,2)</f>
        <v>B1</v>
      </c>
      <c r="G13">
        <f>VALUE(RIGHT(A13,3))</f>
        <v>12</v>
      </c>
      <c r="H13" t="str">
        <f>PROPER(TRIM(B13))</f>
        <v>My Favourite Subject Is Music</v>
      </c>
      <c r="I13">
        <f>LEN(TRIM(B13))-LEN(SUBSTITUTE(TRIM(B13)," ",""))+1</f>
        <v>5</v>
      </c>
      <c r="J13" t="str">
        <f>LEFT(H13,FIND(" ",H13)-1)</f>
        <v>My</v>
      </c>
      <c r="K13">
        <f>C13+D13</f>
        <v>330</v>
      </c>
      <c r="L13">
        <f>VLOOKUP(F13,$R$2:$S$4,2,FALSE)</f>
        <v>450</v>
      </c>
      <c r="M13" t="str">
        <f>IF(K13&gt;=L13,"DAT","CHUA DAT")</f>
        <v>CHUA DAT</v>
      </c>
      <c r="N13" s="1">
        <f>EDATE(E13,24)</f>
        <v>47049</v>
      </c>
      <c r="O13">
        <f>N13-$U$1</f>
        <v>722</v>
      </c>
      <c r="Y13" t="str">
        <v>So HV cap B1 co Tong &gt;= 450</v>
      </c>
      <c r="Z13">
        <f>SUMPRODUCT((F2:F13="B1")*(K2:K13&gt;=450))</f>
        <v>1</v>
      </c>
    </row>
  </sheetData>
  <ignoredErrors>
    <ignoredError numberStoredAsText="1" sqref="A1:Z13"/>
  </ignoredErrors>
</worksheet>
</file>

<file path=xl/worksheets/sheet31.xml><?xml version="1.0" encoding="utf-8"?>
<worksheet xmlns="http://schemas.openxmlformats.org/spreadsheetml/2006/main" xmlns:r="http://schemas.openxmlformats.org/officeDocument/2006/relationships">
  <dimension ref="A1:E13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t="str">
        <v>B1</v>
      </c>
      <c r="C2">
        <f>'anh'!F2</f>
      </c>
      <c r="D2">
        <f>IF(ISERROR(C2),LEFT(B2&amp;"",1)="#",IF(ISNUMBER(C2),AND(ISNUMBER(B2),ABS(C2-B2)&lt;=0.000001*MAX(1,ABS(B2))),EXACT(C2&amp;"",B2&amp;"")))</f>
      </c>
      <c r="E2">
        <f>ISERROR(C2)</f>
      </c>
    </row>
    <row r="3">
      <c r="A3" t="str">
        <v>F3</v>
      </c>
      <c r="B3" t="str">
        <v>B2</v>
      </c>
      <c r="C3">
        <f>'anh'!F3</f>
      </c>
      <c r="D3">
        <f>IF(ISERROR(C3),LEFT(B3&amp;"",1)="#",IF(ISNUMBER(C3),AND(ISNUMBER(B3),ABS(C3-B3)&lt;=0.000001*MAX(1,ABS(B3))),EXACT(C3&amp;"",B3&amp;"")))</f>
      </c>
      <c r="E3">
        <f>ISERROR(C3)</f>
      </c>
    </row>
    <row r="4">
      <c r="A4" t="str">
        <v>F4</v>
      </c>
      <c r="B4" t="str">
        <v>C1</v>
      </c>
      <c r="C4">
        <f>'anh'!F4</f>
      </c>
      <c r="D4">
        <f>IF(ISERROR(C4),LEFT(B4&amp;"",1)="#",IF(ISNUMBER(C4),AND(ISNUMBER(B4),ABS(C4-B4)&lt;=0.000001*MAX(1,ABS(B4))),EXACT(C4&amp;"",B4&amp;"")))</f>
      </c>
      <c r="E4">
        <f>ISERROR(C4)</f>
      </c>
    </row>
    <row r="5">
      <c r="A5" t="str">
        <v>F5</v>
      </c>
      <c r="B5" t="str">
        <v>C1</v>
      </c>
      <c r="C5">
        <f>'anh'!F5</f>
      </c>
      <c r="D5">
        <f>IF(ISERROR(C5),LEFT(B5&amp;"",1)="#",IF(ISNUMBER(C5),AND(ISNUMBER(B5),ABS(C5-B5)&lt;=0.000001*MAX(1,ABS(B5))),EXACT(C5&amp;"",B5&amp;"")))</f>
      </c>
      <c r="E5">
        <f>ISERROR(C5)</f>
      </c>
    </row>
    <row r="6">
      <c r="A6" t="str">
        <v>F6</v>
      </c>
      <c r="B6" t="str">
        <v>B2</v>
      </c>
      <c r="C6">
        <f>'anh'!F6</f>
      </c>
      <c r="D6">
        <f>IF(ISERROR(C6),LEFT(B6&amp;"",1)="#",IF(ISNUMBER(C6),AND(ISNUMBER(B6),ABS(C6-B6)&lt;=0.000001*MAX(1,ABS(B6))),EXACT(C6&amp;"",B6&amp;"")))</f>
      </c>
      <c r="E6">
        <f>ISERROR(C6)</f>
      </c>
    </row>
    <row r="7">
      <c r="A7" t="str">
        <v>F7</v>
      </c>
      <c r="B7" t="str">
        <v>C1</v>
      </c>
      <c r="C7">
        <f>'anh'!F7</f>
      </c>
      <c r="D7">
        <f>IF(ISERROR(C7),LEFT(B7&amp;"",1)="#",IF(ISNUMBER(C7),AND(ISNUMBER(B7),ABS(C7-B7)&lt;=0.000001*MAX(1,ABS(B7))),EXACT(C7&amp;"",B7&amp;"")))</f>
      </c>
      <c r="E7">
        <f>ISERROR(C7)</f>
      </c>
    </row>
    <row r="8">
      <c r="A8" t="str">
        <v>F8</v>
      </c>
      <c r="B8" t="str">
        <v>C1</v>
      </c>
      <c r="C8">
        <f>'anh'!F8</f>
      </c>
      <c r="D8">
        <f>IF(ISERROR(C8),LEFT(B8&amp;"",1)="#",IF(ISNUMBER(C8),AND(ISNUMBER(B8),ABS(C8-B8)&lt;=0.000001*MAX(1,ABS(B8))),EXACT(C8&amp;"",B8&amp;"")))</f>
      </c>
      <c r="E8">
        <f>ISERROR(C8)</f>
      </c>
    </row>
    <row r="9">
      <c r="A9" t="str">
        <v>F9</v>
      </c>
      <c r="B9" t="str">
        <v>B1</v>
      </c>
      <c r="C9">
        <f>'anh'!F9</f>
      </c>
      <c r="D9">
        <f>IF(ISERROR(C9),LEFT(B9&amp;"",1)="#",IF(ISNUMBER(C9),AND(ISNUMBER(B9),ABS(C9-B9)&lt;=0.000001*MAX(1,ABS(B9))),EXACT(C9&amp;"",B9&amp;"")))</f>
      </c>
      <c r="E9">
        <f>ISERROR(C9)</f>
      </c>
    </row>
    <row r="10">
      <c r="A10" t="str">
        <v>F10</v>
      </c>
      <c r="B10" t="str">
        <v>B2</v>
      </c>
      <c r="C10">
        <f>'anh'!F10</f>
      </c>
      <c r="D10">
        <f>IF(ISERROR(C10),LEFT(B10&amp;"",1)="#",IF(ISNUMBER(C10),AND(ISNUMBER(B10),ABS(C10-B10)&lt;=0.000001*MAX(1,ABS(B10))),EXACT(C10&amp;"",B10&amp;"")))</f>
      </c>
      <c r="E10">
        <f>ISERROR(C10)</f>
      </c>
    </row>
    <row r="11">
      <c r="A11" t="str">
        <v>F11</v>
      </c>
      <c r="B11" t="str">
        <v>C1</v>
      </c>
      <c r="C11">
        <f>'anh'!F11</f>
      </c>
      <c r="D11">
        <f>IF(ISERROR(C11),LEFT(B11&amp;"",1)="#",IF(ISNUMBER(C11),AND(ISNUMBER(B11),ABS(C11-B11)&lt;=0.000001*MAX(1,ABS(B11))),EXACT(C11&amp;"",B11&amp;"")))</f>
      </c>
      <c r="E11">
        <f>ISERROR(C11)</f>
      </c>
    </row>
    <row r="12">
      <c r="A12" t="str">
        <v>F12</v>
      </c>
      <c r="B12" t="str">
        <v>C1</v>
      </c>
      <c r="C12">
        <f>'anh'!F12</f>
      </c>
      <c r="D12">
        <f>IF(ISERROR(C12),LEFT(B12&amp;"",1)="#",IF(ISNUMBER(C12),AND(ISNUMBER(B12),ABS(C12-B12)&lt;=0.000001*MAX(1,ABS(B12))),EXACT(C12&amp;"",B12&amp;"")))</f>
      </c>
      <c r="E12">
        <f>ISERROR(C12)</f>
      </c>
    </row>
    <row r="13">
      <c r="A13" t="str">
        <v>F13</v>
      </c>
      <c r="B13" t="str">
        <v>B1</v>
      </c>
      <c r="C13">
        <f>'anh'!F13</f>
      </c>
      <c r="D13">
        <f>IF(ISERROR(C13),LEFT(B13&amp;"",1)="#",IF(ISNUMBER(C13),AND(ISNUMBER(B13),ABS(C13-B13)&lt;=0.000001*MAX(1,ABS(B13))),EXACT(C13&amp;"",B13&amp;"")))</f>
      </c>
      <c r="E13">
        <f>ISERROR(C13)</f>
      </c>
    </row>
    <row r="14">
      <c r="A14" t="str">
        <v>G2</v>
      </c>
      <c r="B14">
        <v>1</v>
      </c>
      <c r="C14">
        <f>'anh'!G2</f>
      </c>
      <c r="D14">
        <f>IF(ISERROR(C14),LEFT(B14&amp;"",1)="#",IF(ISNUMBER(C14),AND(ISNUMBER(B14),ABS(C14-B14)&lt;=0.000001*MAX(1,ABS(B14))),EXACT(C14&amp;"",B14&amp;"")))</f>
      </c>
      <c r="E14">
        <f>ISERROR(C14)</f>
      </c>
    </row>
    <row r="15">
      <c r="A15" t="str">
        <v>G3</v>
      </c>
      <c r="B15">
        <v>2</v>
      </c>
      <c r="C15">
        <f>'anh'!G3</f>
      </c>
      <c r="D15">
        <f>IF(ISERROR(C15),LEFT(B15&amp;"",1)="#",IF(ISNUMBER(C15),AND(ISNUMBER(B15),ABS(C15-B15)&lt;=0.000001*MAX(1,ABS(B15))),EXACT(C15&amp;"",B15&amp;"")))</f>
      </c>
      <c r="E15">
        <f>ISERROR(C15)</f>
      </c>
    </row>
    <row r="16">
      <c r="A16" t="str">
        <v>G4</v>
      </c>
      <c r="B16">
        <v>3</v>
      </c>
      <c r="C16">
        <f>'anh'!G4</f>
      </c>
      <c r="D16">
        <f>IF(ISERROR(C16),LEFT(B16&amp;"",1)="#",IF(ISNUMBER(C16),AND(ISNUMBER(B16),ABS(C16-B16)&lt;=0.000001*MAX(1,ABS(B16))),EXACT(C16&amp;"",B16&amp;"")))</f>
      </c>
      <c r="E16">
        <f>ISERROR(C16)</f>
      </c>
    </row>
    <row r="17">
      <c r="A17" t="str">
        <v>G5</v>
      </c>
      <c r="B17">
        <v>4</v>
      </c>
      <c r="C17">
        <f>'anh'!G5</f>
      </c>
      <c r="D17">
        <f>IF(ISERROR(C17),LEFT(B17&amp;"",1)="#",IF(ISNUMBER(C17),AND(ISNUMBER(B17),ABS(C17-B17)&lt;=0.000001*MAX(1,ABS(B17))),EXACT(C17&amp;"",B17&amp;"")))</f>
      </c>
      <c r="E17">
        <f>ISERROR(C17)</f>
      </c>
    </row>
    <row r="18">
      <c r="A18" t="str">
        <v>G6</v>
      </c>
      <c r="B18">
        <v>5</v>
      </c>
      <c r="C18">
        <f>'anh'!G6</f>
      </c>
      <c r="D18">
        <f>IF(ISERROR(C18),LEFT(B18&amp;"",1)="#",IF(ISNUMBER(C18),AND(ISNUMBER(B18),ABS(C18-B18)&lt;=0.000001*MAX(1,ABS(B18))),EXACT(C18&amp;"",B18&amp;"")))</f>
      </c>
      <c r="E18">
        <f>ISERROR(C18)</f>
      </c>
    </row>
    <row r="19">
      <c r="A19" t="str">
        <v>G7</v>
      </c>
      <c r="B19">
        <v>6</v>
      </c>
      <c r="C19">
        <f>'anh'!G7</f>
      </c>
      <c r="D19">
        <f>IF(ISERROR(C19),LEFT(B19&amp;"",1)="#",IF(ISNUMBER(C19),AND(ISNUMBER(B19),ABS(C19-B19)&lt;=0.000001*MAX(1,ABS(B19))),EXACT(C19&amp;"",B19&amp;"")))</f>
      </c>
      <c r="E19">
        <f>ISERROR(C19)</f>
      </c>
    </row>
    <row r="20">
      <c r="A20" t="str">
        <v>G8</v>
      </c>
      <c r="B20">
        <v>7</v>
      </c>
      <c r="C20">
        <f>'anh'!G8</f>
      </c>
      <c r="D20">
        <f>IF(ISERROR(C20),LEFT(B20&amp;"",1)="#",IF(ISNUMBER(C20),AND(ISNUMBER(B20),ABS(C20-B20)&lt;=0.000001*MAX(1,ABS(B20))),EXACT(C20&amp;"",B20&amp;"")))</f>
      </c>
      <c r="E20">
        <f>ISERROR(C20)</f>
      </c>
    </row>
    <row r="21">
      <c r="A21" t="str">
        <v>G9</v>
      </c>
      <c r="B21">
        <v>8</v>
      </c>
      <c r="C21">
        <f>'anh'!G9</f>
      </c>
      <c r="D21">
        <f>IF(ISERROR(C21),LEFT(B21&amp;"",1)="#",IF(ISNUMBER(C21),AND(ISNUMBER(B21),ABS(C21-B21)&lt;=0.000001*MAX(1,ABS(B21))),EXACT(C21&amp;"",B21&amp;"")))</f>
      </c>
      <c r="E21">
        <f>ISERROR(C21)</f>
      </c>
    </row>
    <row r="22">
      <c r="A22" t="str">
        <v>G10</v>
      </c>
      <c r="B22">
        <v>9</v>
      </c>
      <c r="C22">
        <f>'anh'!G10</f>
      </c>
      <c r="D22">
        <f>IF(ISERROR(C22),LEFT(B22&amp;"",1)="#",IF(ISNUMBER(C22),AND(ISNUMBER(B22),ABS(C22-B22)&lt;=0.000001*MAX(1,ABS(B22))),EXACT(C22&amp;"",B22&amp;"")))</f>
      </c>
      <c r="E22">
        <f>ISERROR(C22)</f>
      </c>
    </row>
    <row r="23">
      <c r="A23" t="str">
        <v>G11</v>
      </c>
      <c r="B23">
        <v>10</v>
      </c>
      <c r="C23">
        <f>'anh'!G11</f>
      </c>
      <c r="D23">
        <f>IF(ISERROR(C23),LEFT(B23&amp;"",1)="#",IF(ISNUMBER(C23),AND(ISNUMBER(B23),ABS(C23-B23)&lt;=0.000001*MAX(1,ABS(B23))),EXACT(C23&amp;"",B23&amp;"")))</f>
      </c>
      <c r="E23">
        <f>ISERROR(C23)</f>
      </c>
    </row>
    <row r="24">
      <c r="A24" t="str">
        <v>G12</v>
      </c>
      <c r="B24">
        <v>11</v>
      </c>
      <c r="C24">
        <f>'anh'!G12</f>
      </c>
      <c r="D24">
        <f>IF(ISERROR(C24),LEFT(B24&amp;"",1)="#",IF(ISNUMBER(C24),AND(ISNUMBER(B24),ABS(C24-B24)&lt;=0.000001*MAX(1,ABS(B24))),EXACT(C24&amp;"",B24&amp;"")))</f>
      </c>
      <c r="E24">
        <f>ISERROR(C24)</f>
      </c>
    </row>
    <row r="25">
      <c r="A25" t="str">
        <v>G13</v>
      </c>
      <c r="B25">
        <v>12</v>
      </c>
      <c r="C25">
        <f>'anh'!G13</f>
      </c>
      <c r="D25">
        <f>IF(ISERROR(C25),LEFT(B25&amp;"",1)="#",IF(ISNUMBER(C25),AND(ISNUMBER(B25),ABS(C25-B25)&lt;=0.000001*MAX(1,ABS(B25))),EXACT(C25&amp;"",B25&amp;"")))</f>
      </c>
      <c r="E25">
        <f>ISERROR(C25)</f>
      </c>
    </row>
    <row r="26">
      <c r="A26" t="str">
        <v>H2</v>
      </c>
      <c r="B26" t="str">
        <v>I Like Learning English</v>
      </c>
      <c r="C26">
        <f>'anh'!H2</f>
      </c>
      <c r="D26">
        <f>IF(ISERROR(C26),LEFT(B26&amp;"",1)="#",IF(ISNUMBER(C26),AND(ISNUMBER(B26),ABS(C26-B26)&lt;=0.000001*MAX(1,ABS(B26))),EXACT(C26&amp;"",B26&amp;"")))</f>
      </c>
      <c r="E26">
        <f>ISERROR(C26)</f>
      </c>
    </row>
    <row r="27">
      <c r="A27" t="str">
        <v>H3</v>
      </c>
      <c r="B27" t="str">
        <v>Thank You Very Much</v>
      </c>
      <c r="C27">
        <f>'anh'!H3</f>
      </c>
      <c r="D27">
        <f>IF(ISERROR(C27),LEFT(B27&amp;"",1)="#",IF(ISNUMBER(C27),AND(ISNUMBER(B27),ABS(C27-B27)&lt;=0.000001*MAX(1,ABS(B27))),EXACT(C27&amp;"",B27&amp;"")))</f>
      </c>
      <c r="E27">
        <f>ISERROR(C27)</f>
      </c>
    </row>
    <row r="28">
      <c r="A28" t="str">
        <v>H4</v>
      </c>
      <c r="B28" t="str">
        <v>How Are You Today</v>
      </c>
      <c r="C28">
        <f>'anh'!H4</f>
      </c>
      <c r="D28">
        <f>IF(ISERROR(C28),LEFT(B28&amp;"",1)="#",IF(ISNUMBER(C28),AND(ISNUMBER(B28),ABS(C28-B28)&lt;=0.000001*MAX(1,ABS(B28))),EXACT(C28&amp;"",B28&amp;"")))</f>
      </c>
      <c r="E28">
        <f>ISERROR(C28)</f>
      </c>
    </row>
    <row r="29">
      <c r="A29" t="str">
        <v>H5</v>
      </c>
      <c r="B29" t="str">
        <v>This Book Is Very Useful</v>
      </c>
      <c r="C29">
        <f>'anh'!H5</f>
      </c>
      <c r="D29">
        <f>IF(ISERROR(C29),LEFT(B29&amp;"",1)="#",IF(ISNUMBER(C29),AND(ISNUMBER(B29),ABS(C29-B29)&lt;=0.000001*MAX(1,ABS(B29))),EXACT(C29&amp;"",B29&amp;"")))</f>
      </c>
      <c r="E29">
        <f>ISERROR(C29)</f>
      </c>
    </row>
    <row r="30">
      <c r="A30" t="str">
        <v>H6</v>
      </c>
      <c r="B30" t="str">
        <v>Good Morning Everyone</v>
      </c>
      <c r="C30">
        <f>'anh'!H6</f>
      </c>
      <c r="D30">
        <f>IF(ISERROR(C30),LEFT(B30&amp;"",1)="#",IF(ISNUMBER(C30),AND(ISNUMBER(B30),ABS(C30-B30)&lt;=0.000001*MAX(1,ABS(B30))),EXACT(C30&amp;"",B30&amp;"")))</f>
      </c>
      <c r="E30">
        <f>ISERROR(C30)</f>
      </c>
    </row>
    <row r="31">
      <c r="A31" t="str">
        <v>H7</v>
      </c>
      <c r="B31" t="str">
        <v>The Weather Is Nice Today</v>
      </c>
      <c r="C31">
        <f>'anh'!H7</f>
      </c>
      <c r="D31">
        <f>IF(ISERROR(C31),LEFT(B31&amp;"",1)="#",IF(ISNUMBER(C31),AND(ISNUMBER(B31),ABS(C31-B31)&lt;=0.000001*MAX(1,ABS(B31))),EXACT(C31&amp;"",B31&amp;"")))</f>
      </c>
      <c r="E31">
        <f>ISERROR(C31)</f>
      </c>
    </row>
    <row r="32">
      <c r="A32" t="str">
        <v>H8</v>
      </c>
      <c r="B32" t="str">
        <v>Can You Help Me Please</v>
      </c>
      <c r="C32">
        <f>'anh'!H8</f>
      </c>
      <c r="D32">
        <f>IF(ISERROR(C32),LEFT(B32&amp;"",1)="#",IF(ISNUMBER(C32),AND(ISNUMBER(B32),ABS(C32-B32)&lt;=0.000001*MAX(1,ABS(B32))),EXACT(C32&amp;"",B32&amp;"")))</f>
      </c>
      <c r="E32">
        <f>ISERROR(C32)</f>
      </c>
    </row>
    <row r="33">
      <c r="A33" t="str">
        <v>H9</v>
      </c>
      <c r="B33" t="str">
        <v>Good Morning Everyone</v>
      </c>
      <c r="C33">
        <f>'anh'!H9</f>
      </c>
      <c r="D33">
        <f>IF(ISERROR(C33),LEFT(B33&amp;"",1)="#",IF(ISNUMBER(C33),AND(ISNUMBER(B33),ABS(C33-B33)&lt;=0.000001*MAX(1,ABS(B33))),EXACT(C33&amp;"",B33&amp;"")))</f>
      </c>
      <c r="E33">
        <f>ISERROR(C33)</f>
      </c>
    </row>
    <row r="34">
      <c r="A34" t="str">
        <v>H10</v>
      </c>
      <c r="B34" t="str">
        <v>See You Next Week</v>
      </c>
      <c r="C34">
        <f>'anh'!H10</f>
      </c>
      <c r="D34">
        <f>IF(ISERROR(C34),LEFT(B34&amp;"",1)="#",IF(ISNUMBER(C34),AND(ISNUMBER(B34),ABS(C34-B34)&lt;=0.000001*MAX(1,ABS(B34))),EXACT(C34&amp;"",B34&amp;"")))</f>
      </c>
      <c r="E34">
        <f>ISERROR(C34)</f>
      </c>
    </row>
    <row r="35">
      <c r="A35" t="str">
        <v>H11</v>
      </c>
      <c r="B35" t="str">
        <v>Good Morning Everyone</v>
      </c>
      <c r="C35">
        <f>'anh'!H11</f>
      </c>
      <c r="D35">
        <f>IF(ISERROR(C35),LEFT(B35&amp;"",1)="#",IF(ISNUMBER(C35),AND(ISNUMBER(B35),ABS(C35-B35)&lt;=0.000001*MAX(1,ABS(B35))),EXACT(C35&amp;"",B35&amp;"")))</f>
      </c>
      <c r="E35">
        <f>ISERROR(C35)</f>
      </c>
    </row>
    <row r="36">
      <c r="A36" t="str">
        <v>H12</v>
      </c>
      <c r="B36" t="str">
        <v>The Weather Is Nice Today</v>
      </c>
      <c r="C36">
        <f>'anh'!H12</f>
      </c>
      <c r="D36">
        <f>IF(ISERROR(C36),LEFT(B36&amp;"",1)="#",IF(ISNUMBER(C36),AND(ISNUMBER(B36),ABS(C36-B36)&lt;=0.000001*MAX(1,ABS(B36))),EXACT(C36&amp;"",B36&amp;"")))</f>
      </c>
      <c r="E36">
        <f>ISERROR(C36)</f>
      </c>
    </row>
    <row r="37">
      <c r="A37" t="str">
        <v>H13</v>
      </c>
      <c r="B37" t="str">
        <v>My Favourite Subject Is Music</v>
      </c>
      <c r="C37">
        <f>'anh'!H13</f>
      </c>
      <c r="D37">
        <f>IF(ISERROR(C37),LEFT(B37&amp;"",1)="#",IF(ISNUMBER(C37),AND(ISNUMBER(B37),ABS(C37-B37)&lt;=0.000001*MAX(1,ABS(B37))),EXACT(C37&amp;"",B37&amp;"")))</f>
      </c>
      <c r="E37">
        <f>ISERROR(C37)</f>
      </c>
    </row>
    <row r="38">
      <c r="A38" t="str">
        <v>I2</v>
      </c>
      <c r="B38">
        <v>4</v>
      </c>
      <c r="C38">
        <f>'anh'!I2</f>
      </c>
      <c r="D38">
        <f>IF(ISERROR(C38),LEFT(B38&amp;"",1)="#",IF(ISNUMBER(C38),AND(ISNUMBER(B38),ABS(C38-B38)&lt;=0.000001*MAX(1,ABS(B38))),EXACT(C38&amp;"",B38&amp;"")))</f>
      </c>
      <c r="E38">
        <f>ISERROR(C38)</f>
      </c>
    </row>
    <row r="39">
      <c r="A39" t="str">
        <v>I3</v>
      </c>
      <c r="B39">
        <v>4</v>
      </c>
      <c r="C39">
        <f>'anh'!I3</f>
      </c>
      <c r="D39">
        <f>IF(ISERROR(C39),LEFT(B39&amp;"",1)="#",IF(ISNUMBER(C39),AND(ISNUMBER(B39),ABS(C39-B39)&lt;=0.000001*MAX(1,ABS(B39))),EXACT(C39&amp;"",B39&amp;"")))</f>
      </c>
      <c r="E39">
        <f>ISERROR(C39)</f>
      </c>
    </row>
    <row r="40">
      <c r="A40" t="str">
        <v>I4</v>
      </c>
      <c r="B40">
        <v>4</v>
      </c>
      <c r="C40">
        <f>'anh'!I4</f>
      </c>
      <c r="D40">
        <f>IF(ISERROR(C40),LEFT(B40&amp;"",1)="#",IF(ISNUMBER(C40),AND(ISNUMBER(B40),ABS(C40-B40)&lt;=0.000001*MAX(1,ABS(B40))),EXACT(C40&amp;"",B40&amp;"")))</f>
      </c>
      <c r="E40">
        <f>ISERROR(C40)</f>
      </c>
    </row>
    <row r="41">
      <c r="A41" t="str">
        <v>I5</v>
      </c>
      <c r="B41">
        <v>5</v>
      </c>
      <c r="C41">
        <f>'anh'!I5</f>
      </c>
      <c r="D41">
        <f>IF(ISERROR(C41),LEFT(B41&amp;"",1)="#",IF(ISNUMBER(C41),AND(ISNUMBER(B41),ABS(C41-B41)&lt;=0.000001*MAX(1,ABS(B41))),EXACT(C41&amp;"",B41&amp;"")))</f>
      </c>
      <c r="E41">
        <f>ISERROR(C41)</f>
      </c>
    </row>
    <row r="42">
      <c r="A42" t="str">
        <v>I6</v>
      </c>
      <c r="B42">
        <v>3</v>
      </c>
      <c r="C42">
        <f>'anh'!I6</f>
      </c>
      <c r="D42">
        <f>IF(ISERROR(C42),LEFT(B42&amp;"",1)="#",IF(ISNUMBER(C42),AND(ISNUMBER(B42),ABS(C42-B42)&lt;=0.000001*MAX(1,ABS(B42))),EXACT(C42&amp;"",B42&amp;"")))</f>
      </c>
      <c r="E42">
        <f>ISERROR(C42)</f>
      </c>
    </row>
    <row r="43">
      <c r="A43" t="str">
        <v>I7</v>
      </c>
      <c r="B43">
        <v>5</v>
      </c>
      <c r="C43">
        <f>'anh'!I7</f>
      </c>
      <c r="D43">
        <f>IF(ISERROR(C43),LEFT(B43&amp;"",1)="#",IF(ISNUMBER(C43),AND(ISNUMBER(B43),ABS(C43-B43)&lt;=0.000001*MAX(1,ABS(B43))),EXACT(C43&amp;"",B43&amp;"")))</f>
      </c>
      <c r="E43">
        <f>ISERROR(C43)</f>
      </c>
    </row>
    <row r="44">
      <c r="A44" t="str">
        <v>I8</v>
      </c>
      <c r="B44">
        <v>5</v>
      </c>
      <c r="C44">
        <f>'anh'!I8</f>
      </c>
      <c r="D44">
        <f>IF(ISERROR(C44),LEFT(B44&amp;"",1)="#",IF(ISNUMBER(C44),AND(ISNUMBER(B44),ABS(C44-B44)&lt;=0.000001*MAX(1,ABS(B44))),EXACT(C44&amp;"",B44&amp;"")))</f>
      </c>
      <c r="E44">
        <f>ISERROR(C44)</f>
      </c>
    </row>
    <row r="45">
      <c r="A45" t="str">
        <v>I9</v>
      </c>
      <c r="B45">
        <v>3</v>
      </c>
      <c r="C45">
        <f>'anh'!I9</f>
      </c>
      <c r="D45">
        <f>IF(ISERROR(C45),LEFT(B45&amp;"",1)="#",IF(ISNUMBER(C45),AND(ISNUMBER(B45),ABS(C45-B45)&lt;=0.000001*MAX(1,ABS(B45))),EXACT(C45&amp;"",B45&amp;"")))</f>
      </c>
      <c r="E45">
        <f>ISERROR(C45)</f>
      </c>
    </row>
    <row r="46">
      <c r="A46" t="str">
        <v>I10</v>
      </c>
      <c r="B46">
        <v>4</v>
      </c>
      <c r="C46">
        <f>'anh'!I10</f>
      </c>
      <c r="D46">
        <f>IF(ISERROR(C46),LEFT(B46&amp;"",1)="#",IF(ISNUMBER(C46),AND(ISNUMBER(B46),ABS(C46-B46)&lt;=0.000001*MAX(1,ABS(B46))),EXACT(C46&amp;"",B46&amp;"")))</f>
      </c>
      <c r="E46">
        <f>ISERROR(C46)</f>
      </c>
    </row>
    <row r="47">
      <c r="A47" t="str">
        <v>I11</v>
      </c>
      <c r="B47">
        <v>3</v>
      </c>
      <c r="C47">
        <f>'anh'!I11</f>
      </c>
      <c r="D47">
        <f>IF(ISERROR(C47),LEFT(B47&amp;"",1)="#",IF(ISNUMBER(C47),AND(ISNUMBER(B47),ABS(C47-B47)&lt;=0.000001*MAX(1,ABS(B47))),EXACT(C47&amp;"",B47&amp;"")))</f>
      </c>
      <c r="E47">
        <f>ISERROR(C47)</f>
      </c>
    </row>
    <row r="48">
      <c r="A48" t="str">
        <v>I12</v>
      </c>
      <c r="B48">
        <v>5</v>
      </c>
      <c r="C48">
        <f>'anh'!I12</f>
      </c>
      <c r="D48">
        <f>IF(ISERROR(C48),LEFT(B48&amp;"",1)="#",IF(ISNUMBER(C48),AND(ISNUMBER(B48),ABS(C48-B48)&lt;=0.000001*MAX(1,ABS(B48))),EXACT(C48&amp;"",B48&amp;"")))</f>
      </c>
      <c r="E48">
        <f>ISERROR(C48)</f>
      </c>
    </row>
    <row r="49">
      <c r="A49" t="str">
        <v>I13</v>
      </c>
      <c r="B49">
        <v>5</v>
      </c>
      <c r="C49">
        <f>'anh'!I13</f>
      </c>
      <c r="D49">
        <f>IF(ISERROR(C49),LEFT(B49&amp;"",1)="#",IF(ISNUMBER(C49),AND(ISNUMBER(B49),ABS(C49-B49)&lt;=0.000001*MAX(1,ABS(B49))),EXACT(C49&amp;"",B49&amp;"")))</f>
      </c>
      <c r="E49">
        <f>ISERROR(C49)</f>
      </c>
    </row>
    <row r="50">
      <c r="A50" t="str">
        <v>J2</v>
      </c>
      <c r="B50" t="str">
        <v>I</v>
      </c>
      <c r="C50">
        <f>'anh'!J2</f>
      </c>
      <c r="D50">
        <f>IF(ISERROR(C50),LEFT(B50&amp;"",1)="#",IF(ISNUMBER(C50),AND(ISNUMBER(B50),ABS(C50-B50)&lt;=0.000001*MAX(1,ABS(B50))),EXACT(C50&amp;"",B50&amp;"")))</f>
      </c>
      <c r="E50">
        <f>ISERROR(C50)</f>
      </c>
    </row>
    <row r="51">
      <c r="A51" t="str">
        <v>J3</v>
      </c>
      <c r="B51" t="str">
        <v>Thank</v>
      </c>
      <c r="C51">
        <f>'anh'!J3</f>
      </c>
      <c r="D51">
        <f>IF(ISERROR(C51),LEFT(B51&amp;"",1)="#",IF(ISNUMBER(C51),AND(ISNUMBER(B51),ABS(C51-B51)&lt;=0.000001*MAX(1,ABS(B51))),EXACT(C51&amp;"",B51&amp;"")))</f>
      </c>
      <c r="E51">
        <f>ISERROR(C51)</f>
      </c>
    </row>
    <row r="52">
      <c r="A52" t="str">
        <v>J4</v>
      </c>
      <c r="B52" t="str">
        <v>How</v>
      </c>
      <c r="C52">
        <f>'anh'!J4</f>
      </c>
      <c r="D52">
        <f>IF(ISERROR(C52),LEFT(B52&amp;"",1)="#",IF(ISNUMBER(C52),AND(ISNUMBER(B52),ABS(C52-B52)&lt;=0.000001*MAX(1,ABS(B52))),EXACT(C52&amp;"",B52&amp;"")))</f>
      </c>
      <c r="E52">
        <f>ISERROR(C52)</f>
      </c>
    </row>
    <row r="53">
      <c r="A53" t="str">
        <v>J5</v>
      </c>
      <c r="B53" t="str">
        <v>This</v>
      </c>
      <c r="C53">
        <f>'anh'!J5</f>
      </c>
      <c r="D53">
        <f>IF(ISERROR(C53),LEFT(B53&amp;"",1)="#",IF(ISNUMBER(C53),AND(ISNUMBER(B53),ABS(C53-B53)&lt;=0.000001*MAX(1,ABS(B53))),EXACT(C53&amp;"",B53&amp;"")))</f>
      </c>
      <c r="E53">
        <f>ISERROR(C53)</f>
      </c>
    </row>
    <row r="54">
      <c r="A54" t="str">
        <v>J6</v>
      </c>
      <c r="B54" t="str">
        <v>Good</v>
      </c>
      <c r="C54">
        <f>'anh'!J6</f>
      </c>
      <c r="D54">
        <f>IF(ISERROR(C54),LEFT(B54&amp;"",1)="#",IF(ISNUMBER(C54),AND(ISNUMBER(B54),ABS(C54-B54)&lt;=0.000001*MAX(1,ABS(B54))),EXACT(C54&amp;"",B54&amp;"")))</f>
      </c>
      <c r="E54">
        <f>ISERROR(C54)</f>
      </c>
    </row>
    <row r="55">
      <c r="A55" t="str">
        <v>J7</v>
      </c>
      <c r="B55" t="str">
        <v>The</v>
      </c>
      <c r="C55">
        <f>'anh'!J7</f>
      </c>
      <c r="D55">
        <f>IF(ISERROR(C55),LEFT(B55&amp;"",1)="#",IF(ISNUMBER(C55),AND(ISNUMBER(B55),ABS(C55-B55)&lt;=0.000001*MAX(1,ABS(B55))),EXACT(C55&amp;"",B55&amp;"")))</f>
      </c>
      <c r="E55">
        <f>ISERROR(C55)</f>
      </c>
    </row>
    <row r="56">
      <c r="A56" t="str">
        <v>J8</v>
      </c>
      <c r="B56" t="str">
        <v>Can</v>
      </c>
      <c r="C56">
        <f>'anh'!J8</f>
      </c>
      <c r="D56">
        <f>IF(ISERROR(C56),LEFT(B56&amp;"",1)="#",IF(ISNUMBER(C56),AND(ISNUMBER(B56),ABS(C56-B56)&lt;=0.000001*MAX(1,ABS(B56))),EXACT(C56&amp;"",B56&amp;"")))</f>
      </c>
      <c r="E56">
        <f>ISERROR(C56)</f>
      </c>
    </row>
    <row r="57">
      <c r="A57" t="str">
        <v>J9</v>
      </c>
      <c r="B57" t="str">
        <v>Good</v>
      </c>
      <c r="C57">
        <f>'anh'!J9</f>
      </c>
      <c r="D57">
        <f>IF(ISERROR(C57),LEFT(B57&amp;"",1)="#",IF(ISNUMBER(C57),AND(ISNUMBER(B57),ABS(C57-B57)&lt;=0.000001*MAX(1,ABS(B57))),EXACT(C57&amp;"",B57&amp;"")))</f>
      </c>
      <c r="E57">
        <f>ISERROR(C57)</f>
      </c>
    </row>
    <row r="58">
      <c r="A58" t="str">
        <v>J10</v>
      </c>
      <c r="B58" t="str">
        <v>See</v>
      </c>
      <c r="C58">
        <f>'anh'!J10</f>
      </c>
      <c r="D58">
        <f>IF(ISERROR(C58),LEFT(B58&amp;"",1)="#",IF(ISNUMBER(C58),AND(ISNUMBER(B58),ABS(C58-B58)&lt;=0.000001*MAX(1,ABS(B58))),EXACT(C58&amp;"",B58&amp;"")))</f>
      </c>
      <c r="E58">
        <f>ISERROR(C58)</f>
      </c>
    </row>
    <row r="59">
      <c r="A59" t="str">
        <v>J11</v>
      </c>
      <c r="B59" t="str">
        <v>Good</v>
      </c>
      <c r="C59">
        <f>'anh'!J11</f>
      </c>
      <c r="D59">
        <f>IF(ISERROR(C59),LEFT(B59&amp;"",1)="#",IF(ISNUMBER(C59),AND(ISNUMBER(B59),ABS(C59-B59)&lt;=0.000001*MAX(1,ABS(B59))),EXACT(C59&amp;"",B59&amp;"")))</f>
      </c>
      <c r="E59">
        <f>ISERROR(C59)</f>
      </c>
    </row>
    <row r="60">
      <c r="A60" t="str">
        <v>J12</v>
      </c>
      <c r="B60" t="str">
        <v>The</v>
      </c>
      <c r="C60">
        <f>'anh'!J12</f>
      </c>
      <c r="D60">
        <f>IF(ISERROR(C60),LEFT(B60&amp;"",1)="#",IF(ISNUMBER(C60),AND(ISNUMBER(B60),ABS(C60-B60)&lt;=0.000001*MAX(1,ABS(B60))),EXACT(C60&amp;"",B60&amp;"")))</f>
      </c>
      <c r="E60">
        <f>ISERROR(C60)</f>
      </c>
    </row>
    <row r="61">
      <c r="A61" t="str">
        <v>J13</v>
      </c>
      <c r="B61" t="str">
        <v>My</v>
      </c>
      <c r="C61">
        <f>'anh'!J13</f>
      </c>
      <c r="D61">
        <f>IF(ISERROR(C61),LEFT(B61&amp;"",1)="#",IF(ISNUMBER(C61),AND(ISNUMBER(B61),ABS(C61-B61)&lt;=0.000001*MAX(1,ABS(B61))),EXACT(C61&amp;"",B61&amp;"")))</f>
      </c>
      <c r="E61">
        <f>ISERROR(C61)</f>
      </c>
    </row>
    <row r="62">
      <c r="A62" t="str">
        <v>K2</v>
      </c>
      <c r="B62">
        <v>410</v>
      </c>
      <c r="C62">
        <f>'anh'!K2</f>
      </c>
      <c r="D62">
        <f>IF(ISERROR(C62),LEFT(B62&amp;"",1)="#",IF(ISNUMBER(C62),AND(ISNUMBER(B62),ABS(C62-B62)&lt;=0.000001*MAX(1,ABS(B62))),EXACT(C62&amp;"",B62&amp;"")))</f>
      </c>
      <c r="E62">
        <f>ISERROR(C62)</f>
      </c>
    </row>
    <row r="63">
      <c r="A63" t="str">
        <v>K3</v>
      </c>
      <c r="B63">
        <v>670</v>
      </c>
      <c r="C63">
        <f>'anh'!K3</f>
      </c>
      <c r="D63">
        <f>IF(ISERROR(C63),LEFT(B63&amp;"",1)="#",IF(ISNUMBER(C63),AND(ISNUMBER(B63),ABS(C63-B63)&lt;=0.000001*MAX(1,ABS(B63))),EXACT(C63&amp;"",B63&amp;"")))</f>
      </c>
      <c r="E63">
        <f>ISERROR(C63)</f>
      </c>
    </row>
    <row r="64">
      <c r="A64" t="str">
        <v>K4</v>
      </c>
      <c r="B64">
        <v>670</v>
      </c>
      <c r="C64">
        <f>'anh'!K4</f>
      </c>
      <c r="D64">
        <f>IF(ISERROR(C64),LEFT(B64&amp;"",1)="#",IF(ISNUMBER(C64),AND(ISNUMBER(B64),ABS(C64-B64)&lt;=0.000001*MAX(1,ABS(B64))),EXACT(C64&amp;"",B64&amp;"")))</f>
      </c>
      <c r="E64">
        <f>ISERROR(C64)</f>
      </c>
    </row>
    <row r="65">
      <c r="A65" t="str">
        <v>K5</v>
      </c>
      <c r="B65">
        <v>635</v>
      </c>
      <c r="C65">
        <f>'anh'!K5</f>
      </c>
      <c r="D65">
        <f>IF(ISERROR(C65),LEFT(B65&amp;"",1)="#",IF(ISNUMBER(C65),AND(ISNUMBER(B65),ABS(C65-B65)&lt;=0.000001*MAX(1,ABS(B65))),EXACT(C65&amp;"",B65&amp;"")))</f>
      </c>
      <c r="E65">
        <f>ISERROR(C65)</f>
      </c>
    </row>
    <row r="66">
      <c r="A66" t="str">
        <v>K6</v>
      </c>
      <c r="B66">
        <v>550</v>
      </c>
      <c r="C66">
        <f>'anh'!K6</f>
      </c>
      <c r="D66">
        <f>IF(ISERROR(C66),LEFT(B66&amp;"",1)="#",IF(ISNUMBER(C66),AND(ISNUMBER(B66),ABS(C66-B66)&lt;=0.000001*MAX(1,ABS(B66))),EXACT(C66&amp;"",B66&amp;"")))</f>
      </c>
      <c r="E66">
        <f>ISERROR(C66)</f>
      </c>
    </row>
    <row r="67">
      <c r="A67" t="str">
        <v>K7</v>
      </c>
      <c r="B67">
        <v>870</v>
      </c>
      <c r="C67">
        <f>'anh'!K7</f>
      </c>
      <c r="D67">
        <f>IF(ISERROR(C67),LEFT(B67&amp;"",1)="#",IF(ISNUMBER(C67),AND(ISNUMBER(B67),ABS(C67-B67)&lt;=0.000001*MAX(1,ABS(B67))),EXACT(C67&amp;"",B67&amp;"")))</f>
      </c>
      <c r="E67">
        <f>ISERROR(C67)</f>
      </c>
    </row>
    <row r="68">
      <c r="A68" t="str">
        <v>K8</v>
      </c>
      <c r="B68">
        <v>720</v>
      </c>
      <c r="C68">
        <f>'anh'!K8</f>
      </c>
      <c r="D68">
        <f>IF(ISERROR(C68),LEFT(B68&amp;"",1)="#",IF(ISNUMBER(C68),AND(ISNUMBER(B68),ABS(C68-B68)&lt;=0.000001*MAX(1,ABS(B68))),EXACT(C68&amp;"",B68&amp;"")))</f>
      </c>
      <c r="E68">
        <f>ISERROR(C68)</f>
      </c>
    </row>
    <row r="69">
      <c r="A69" t="str">
        <v>K9</v>
      </c>
      <c r="B69">
        <v>500</v>
      </c>
      <c r="C69">
        <f>'anh'!K9</f>
      </c>
      <c r="D69">
        <f>IF(ISERROR(C69),LEFT(B69&amp;"",1)="#",IF(ISNUMBER(C69),AND(ISNUMBER(B69),ABS(C69-B69)&lt;=0.000001*MAX(1,ABS(B69))),EXACT(C69&amp;"",B69&amp;"")))</f>
      </c>
      <c r="E69">
        <f>ISERROR(C69)</f>
      </c>
    </row>
    <row r="70">
      <c r="A70" t="str">
        <v>K10</v>
      </c>
      <c r="B70">
        <v>460</v>
      </c>
      <c r="C70">
        <f>'anh'!K10</f>
      </c>
      <c r="D70">
        <f>IF(ISERROR(C70),LEFT(B70&amp;"",1)="#",IF(ISNUMBER(C70),AND(ISNUMBER(B70),ABS(C70-B70)&lt;=0.000001*MAX(1,ABS(B70))),EXACT(C70&amp;"",B70&amp;"")))</f>
      </c>
      <c r="E70">
        <f>ISERROR(C70)</f>
      </c>
    </row>
    <row r="71">
      <c r="A71" t="str">
        <v>K11</v>
      </c>
      <c r="B71">
        <v>630</v>
      </c>
      <c r="C71">
        <f>'anh'!K11</f>
      </c>
      <c r="D71">
        <f>IF(ISERROR(C71),LEFT(B71&amp;"",1)="#",IF(ISNUMBER(C71),AND(ISNUMBER(B71),ABS(C71-B71)&lt;=0.000001*MAX(1,ABS(B71))),EXACT(C71&amp;"",B71&amp;"")))</f>
      </c>
      <c r="E71">
        <f>ISERROR(C71)</f>
      </c>
    </row>
    <row r="72">
      <c r="A72" t="str">
        <v>K12</v>
      </c>
      <c r="B72">
        <v>395</v>
      </c>
      <c r="C72">
        <f>'anh'!K12</f>
      </c>
      <c r="D72">
        <f>IF(ISERROR(C72),LEFT(B72&amp;"",1)="#",IF(ISNUMBER(C72),AND(ISNUMBER(B72),ABS(C72-B72)&lt;=0.000001*MAX(1,ABS(B72))),EXACT(C72&amp;"",B72&amp;"")))</f>
      </c>
      <c r="E72">
        <f>ISERROR(C72)</f>
      </c>
    </row>
    <row r="73">
      <c r="A73" t="str">
        <v>K13</v>
      </c>
      <c r="B73">
        <v>330</v>
      </c>
      <c r="C73">
        <f>'anh'!K13</f>
      </c>
      <c r="D73">
        <f>IF(ISERROR(C73),LEFT(B73&amp;"",1)="#",IF(ISNUMBER(C73),AND(ISNUMBER(B73),ABS(C73-B73)&lt;=0.000001*MAX(1,ABS(B73))),EXACT(C73&amp;"",B73&amp;"")))</f>
      </c>
      <c r="E73">
        <f>ISERROR(C73)</f>
      </c>
    </row>
    <row r="74">
      <c r="A74" t="str">
        <v>L2</v>
      </c>
      <c r="B74">
        <v>450</v>
      </c>
      <c r="C74">
        <f>'anh'!L2</f>
      </c>
      <c r="D74">
        <f>IF(ISERROR(C74),LEFT(B74&amp;"",1)="#",IF(ISNUMBER(C74),AND(ISNUMBER(B74),ABS(C74-B74)&lt;=0.000001*MAX(1,ABS(B74))),EXACT(C74&amp;"",B74&amp;"")))</f>
      </c>
      <c r="E74">
        <f>ISERROR(C74)</f>
      </c>
    </row>
    <row r="75">
      <c r="A75" t="str">
        <v>L3</v>
      </c>
      <c r="B75">
        <v>600</v>
      </c>
      <c r="C75">
        <f>'anh'!L3</f>
      </c>
      <c r="D75">
        <f>IF(ISERROR(C75),LEFT(B75&amp;"",1)="#",IF(ISNUMBER(C75),AND(ISNUMBER(B75),ABS(C75-B75)&lt;=0.000001*MAX(1,ABS(B75))),EXACT(C75&amp;"",B75&amp;"")))</f>
      </c>
      <c r="E75">
        <f>ISERROR(C75)</f>
      </c>
    </row>
    <row r="76">
      <c r="A76" t="str">
        <v>L4</v>
      </c>
      <c r="B76">
        <v>785</v>
      </c>
      <c r="C76">
        <f>'anh'!L4</f>
      </c>
      <c r="D76">
        <f>IF(ISERROR(C76),LEFT(B76&amp;"",1)="#",IF(ISNUMBER(C76),AND(ISNUMBER(B76),ABS(C76-B76)&lt;=0.000001*MAX(1,ABS(B76))),EXACT(C76&amp;"",B76&amp;"")))</f>
      </c>
      <c r="E76">
        <f>ISERROR(C76)</f>
      </c>
    </row>
    <row r="77">
      <c r="A77" t="str">
        <v>L5</v>
      </c>
      <c r="B77">
        <v>785</v>
      </c>
      <c r="C77">
        <f>'anh'!L5</f>
      </c>
      <c r="D77">
        <f>IF(ISERROR(C77),LEFT(B77&amp;"",1)="#",IF(ISNUMBER(C77),AND(ISNUMBER(B77),ABS(C77-B77)&lt;=0.000001*MAX(1,ABS(B77))),EXACT(C77&amp;"",B77&amp;"")))</f>
      </c>
      <c r="E77">
        <f>ISERROR(C77)</f>
      </c>
    </row>
    <row r="78">
      <c r="A78" t="str">
        <v>L6</v>
      </c>
      <c r="B78">
        <v>600</v>
      </c>
      <c r="C78">
        <f>'anh'!L6</f>
      </c>
      <c r="D78">
        <f>IF(ISERROR(C78),LEFT(B78&amp;"",1)="#",IF(ISNUMBER(C78),AND(ISNUMBER(B78),ABS(C78-B78)&lt;=0.000001*MAX(1,ABS(B78))),EXACT(C78&amp;"",B78&amp;"")))</f>
      </c>
      <c r="E78">
        <f>ISERROR(C78)</f>
      </c>
    </row>
    <row r="79">
      <c r="A79" t="str">
        <v>L7</v>
      </c>
      <c r="B79">
        <v>785</v>
      </c>
      <c r="C79">
        <f>'anh'!L7</f>
      </c>
      <c r="D79">
        <f>IF(ISERROR(C79),LEFT(B79&amp;"",1)="#",IF(ISNUMBER(C79),AND(ISNUMBER(B79),ABS(C79-B79)&lt;=0.000001*MAX(1,ABS(B79))),EXACT(C79&amp;"",B79&amp;"")))</f>
      </c>
      <c r="E79">
        <f>ISERROR(C79)</f>
      </c>
    </row>
    <row r="80">
      <c r="A80" t="str">
        <v>L8</v>
      </c>
      <c r="B80">
        <v>785</v>
      </c>
      <c r="C80">
        <f>'anh'!L8</f>
      </c>
      <c r="D80">
        <f>IF(ISERROR(C80),LEFT(B80&amp;"",1)="#",IF(ISNUMBER(C80),AND(ISNUMBER(B80),ABS(C80-B80)&lt;=0.000001*MAX(1,ABS(B80))),EXACT(C80&amp;"",B80&amp;"")))</f>
      </c>
      <c r="E80">
        <f>ISERROR(C80)</f>
      </c>
    </row>
    <row r="81">
      <c r="A81" t="str">
        <v>L9</v>
      </c>
      <c r="B81">
        <v>450</v>
      </c>
      <c r="C81">
        <f>'anh'!L9</f>
      </c>
      <c r="D81">
        <f>IF(ISERROR(C81),LEFT(B81&amp;"",1)="#",IF(ISNUMBER(C81),AND(ISNUMBER(B81),ABS(C81-B81)&lt;=0.000001*MAX(1,ABS(B81))),EXACT(C81&amp;"",B81&amp;"")))</f>
      </c>
      <c r="E81">
        <f>ISERROR(C81)</f>
      </c>
    </row>
    <row r="82">
      <c r="A82" t="str">
        <v>L10</v>
      </c>
      <c r="B82">
        <v>600</v>
      </c>
      <c r="C82">
        <f>'anh'!L10</f>
      </c>
      <c r="D82">
        <f>IF(ISERROR(C82),LEFT(B82&amp;"",1)="#",IF(ISNUMBER(C82),AND(ISNUMBER(B82),ABS(C82-B82)&lt;=0.000001*MAX(1,ABS(B82))),EXACT(C82&amp;"",B82&amp;"")))</f>
      </c>
      <c r="E82">
        <f>ISERROR(C82)</f>
      </c>
    </row>
    <row r="83">
      <c r="A83" t="str">
        <v>L11</v>
      </c>
      <c r="B83">
        <v>785</v>
      </c>
      <c r="C83">
        <f>'anh'!L11</f>
      </c>
      <c r="D83">
        <f>IF(ISERROR(C83),LEFT(B83&amp;"",1)="#",IF(ISNUMBER(C83),AND(ISNUMBER(B83),ABS(C83-B83)&lt;=0.000001*MAX(1,ABS(B83))),EXACT(C83&amp;"",B83&amp;"")))</f>
      </c>
      <c r="E83">
        <f>ISERROR(C83)</f>
      </c>
    </row>
    <row r="84">
      <c r="A84" t="str">
        <v>L12</v>
      </c>
      <c r="B84">
        <v>785</v>
      </c>
      <c r="C84">
        <f>'anh'!L12</f>
      </c>
      <c r="D84">
        <f>IF(ISERROR(C84),LEFT(B84&amp;"",1)="#",IF(ISNUMBER(C84),AND(ISNUMBER(B84),ABS(C84-B84)&lt;=0.000001*MAX(1,ABS(B84))),EXACT(C84&amp;"",B84&amp;"")))</f>
      </c>
      <c r="E84">
        <f>ISERROR(C84)</f>
      </c>
    </row>
    <row r="85">
      <c r="A85" t="str">
        <v>L13</v>
      </c>
      <c r="B85">
        <v>450</v>
      </c>
      <c r="C85">
        <f>'anh'!L13</f>
      </c>
      <c r="D85">
        <f>IF(ISERROR(C85),LEFT(B85&amp;"",1)="#",IF(ISNUMBER(C85),AND(ISNUMBER(B85),ABS(C85-B85)&lt;=0.000001*MAX(1,ABS(B85))),EXACT(C85&amp;"",B85&amp;"")))</f>
      </c>
      <c r="E85">
        <f>ISERROR(C85)</f>
      </c>
    </row>
    <row r="86">
      <c r="A86" t="str">
        <v>M2</v>
      </c>
      <c r="B86" t="str">
        <v>CHUA DAT</v>
      </c>
      <c r="C86">
        <f>'anh'!M2</f>
      </c>
      <c r="D86">
        <f>IF(ISERROR(C86),LEFT(B86&amp;"",1)="#",IF(ISNUMBER(C86),AND(ISNUMBER(B86),ABS(C86-B86)&lt;=0.000001*MAX(1,ABS(B86))),EXACT(C86&amp;"",B86&amp;"")))</f>
      </c>
      <c r="E86">
        <f>ISERROR(C86)</f>
      </c>
    </row>
    <row r="87">
      <c r="A87" t="str">
        <v>M3</v>
      </c>
      <c r="B87" t="str">
        <v>DAT</v>
      </c>
      <c r="C87">
        <f>'anh'!M3</f>
      </c>
      <c r="D87">
        <f>IF(ISERROR(C87),LEFT(B87&amp;"",1)="#",IF(ISNUMBER(C87),AND(ISNUMBER(B87),ABS(C87-B87)&lt;=0.000001*MAX(1,ABS(B87))),EXACT(C87&amp;"",B87&amp;"")))</f>
      </c>
      <c r="E87">
        <f>ISERROR(C87)</f>
      </c>
    </row>
    <row r="88">
      <c r="A88" t="str">
        <v>M4</v>
      </c>
      <c r="B88" t="str">
        <v>CHUA DAT</v>
      </c>
      <c r="C88">
        <f>'anh'!M4</f>
      </c>
      <c r="D88">
        <f>IF(ISERROR(C88),LEFT(B88&amp;"",1)="#",IF(ISNUMBER(C88),AND(ISNUMBER(B88),ABS(C88-B88)&lt;=0.000001*MAX(1,ABS(B88))),EXACT(C88&amp;"",B88&amp;"")))</f>
      </c>
      <c r="E88">
        <f>ISERROR(C88)</f>
      </c>
    </row>
    <row r="89">
      <c r="A89" t="str">
        <v>M5</v>
      </c>
      <c r="B89" t="str">
        <v>CHUA DAT</v>
      </c>
      <c r="C89">
        <f>'anh'!M5</f>
      </c>
      <c r="D89">
        <f>IF(ISERROR(C89),LEFT(B89&amp;"",1)="#",IF(ISNUMBER(C89),AND(ISNUMBER(B89),ABS(C89-B89)&lt;=0.000001*MAX(1,ABS(B89))),EXACT(C89&amp;"",B89&amp;"")))</f>
      </c>
      <c r="E89">
        <f>ISERROR(C89)</f>
      </c>
    </row>
    <row r="90">
      <c r="A90" t="str">
        <v>M6</v>
      </c>
      <c r="B90" t="str">
        <v>CHUA DAT</v>
      </c>
      <c r="C90">
        <f>'anh'!M6</f>
      </c>
      <c r="D90">
        <f>IF(ISERROR(C90),LEFT(B90&amp;"",1)="#",IF(ISNUMBER(C90),AND(ISNUMBER(B90),ABS(C90-B90)&lt;=0.000001*MAX(1,ABS(B90))),EXACT(C90&amp;"",B90&amp;"")))</f>
      </c>
      <c r="E90">
        <f>ISERROR(C90)</f>
      </c>
    </row>
    <row r="91">
      <c r="A91" t="str">
        <v>M7</v>
      </c>
      <c r="B91" t="str">
        <v>DAT</v>
      </c>
      <c r="C91">
        <f>'anh'!M7</f>
      </c>
      <c r="D91">
        <f>IF(ISERROR(C91),LEFT(B91&amp;"",1)="#",IF(ISNUMBER(C91),AND(ISNUMBER(B91),ABS(C91-B91)&lt;=0.000001*MAX(1,ABS(B91))),EXACT(C91&amp;"",B91&amp;"")))</f>
      </c>
      <c r="E91">
        <f>ISERROR(C91)</f>
      </c>
    </row>
    <row r="92">
      <c r="A92" t="str">
        <v>M8</v>
      </c>
      <c r="B92" t="str">
        <v>CHUA DAT</v>
      </c>
      <c r="C92">
        <f>'anh'!M8</f>
      </c>
      <c r="D92">
        <f>IF(ISERROR(C92),LEFT(B92&amp;"",1)="#",IF(ISNUMBER(C92),AND(ISNUMBER(B92),ABS(C92-B92)&lt;=0.000001*MAX(1,ABS(B92))),EXACT(C92&amp;"",B92&amp;"")))</f>
      </c>
      <c r="E92">
        <f>ISERROR(C92)</f>
      </c>
    </row>
    <row r="93">
      <c r="A93" t="str">
        <v>M9</v>
      </c>
      <c r="B93" t="str">
        <v>DAT</v>
      </c>
      <c r="C93">
        <f>'anh'!M9</f>
      </c>
      <c r="D93">
        <f>IF(ISERROR(C93),LEFT(B93&amp;"",1)="#",IF(ISNUMBER(C93),AND(ISNUMBER(B93),ABS(C93-B93)&lt;=0.000001*MAX(1,ABS(B93))),EXACT(C93&amp;"",B93&amp;"")))</f>
      </c>
      <c r="E93">
        <f>ISERROR(C93)</f>
      </c>
    </row>
    <row r="94">
      <c r="A94" t="str">
        <v>M10</v>
      </c>
      <c r="B94" t="str">
        <v>CHUA DAT</v>
      </c>
      <c r="C94">
        <f>'anh'!M10</f>
      </c>
      <c r="D94">
        <f>IF(ISERROR(C94),LEFT(B94&amp;"",1)="#",IF(ISNUMBER(C94),AND(ISNUMBER(B94),ABS(C94-B94)&lt;=0.000001*MAX(1,ABS(B94))),EXACT(C94&amp;"",B94&amp;"")))</f>
      </c>
      <c r="E94">
        <f>ISERROR(C94)</f>
      </c>
    </row>
    <row r="95">
      <c r="A95" t="str">
        <v>M11</v>
      </c>
      <c r="B95" t="str">
        <v>CHUA DAT</v>
      </c>
      <c r="C95">
        <f>'anh'!M11</f>
      </c>
      <c r="D95">
        <f>IF(ISERROR(C95),LEFT(B95&amp;"",1)="#",IF(ISNUMBER(C95),AND(ISNUMBER(B95),ABS(C95-B95)&lt;=0.000001*MAX(1,ABS(B95))),EXACT(C95&amp;"",B95&amp;"")))</f>
      </c>
      <c r="E95">
        <f>ISERROR(C95)</f>
      </c>
    </row>
    <row r="96">
      <c r="A96" t="str">
        <v>M12</v>
      </c>
      <c r="B96" t="str">
        <v>CHUA DAT</v>
      </c>
      <c r="C96">
        <f>'anh'!M12</f>
      </c>
      <c r="D96">
        <f>IF(ISERROR(C96),LEFT(B96&amp;"",1)="#",IF(ISNUMBER(C96),AND(ISNUMBER(B96),ABS(C96-B96)&lt;=0.000001*MAX(1,ABS(B96))),EXACT(C96&amp;"",B96&amp;"")))</f>
      </c>
      <c r="E96">
        <f>ISERROR(C96)</f>
      </c>
    </row>
    <row r="97">
      <c r="A97" t="str">
        <v>M13</v>
      </c>
      <c r="B97" t="str">
        <v>CHUA DAT</v>
      </c>
      <c r="C97">
        <f>'anh'!M13</f>
      </c>
      <c r="D97">
        <f>IF(ISERROR(C97),LEFT(B97&amp;"",1)="#",IF(ISNUMBER(C97),AND(ISNUMBER(B97),ABS(C97-B97)&lt;=0.000001*MAX(1,ABS(B97))),EXACT(C97&amp;"",B97&amp;"")))</f>
      </c>
      <c r="E97">
        <f>ISERROR(C97)</f>
      </c>
    </row>
    <row r="98">
      <c r="A98" t="str">
        <v>N2</v>
      </c>
      <c r="B98">
        <v>47031</v>
      </c>
      <c r="C98">
        <f>'anh'!N2</f>
      </c>
      <c r="D98">
        <f>IF(ISERROR(C98),LEFT(B98&amp;"",1)="#",IF(ISNUMBER(C98),AND(ISNUMBER(B98),ABS(C98-B98)&lt;=0.000001*MAX(1,ABS(B98))),EXACT(C98&amp;"",B98&amp;"")))</f>
      </c>
      <c r="E98">
        <f>ISERROR(C98)</f>
      </c>
    </row>
    <row r="99">
      <c r="A99" t="str">
        <v>N3</v>
      </c>
      <c r="B99">
        <v>47045</v>
      </c>
      <c r="C99">
        <f>'anh'!N3</f>
      </c>
      <c r="D99">
        <f>IF(ISERROR(C99),LEFT(B99&amp;"",1)="#",IF(ISNUMBER(C99),AND(ISNUMBER(B99),ABS(C99-B99)&lt;=0.000001*MAX(1,ABS(B99))),EXACT(C99&amp;"",B99&amp;"")))</f>
      </c>
      <c r="E99">
        <f>ISERROR(C99)</f>
      </c>
    </row>
    <row r="100">
      <c r="A100" t="str">
        <v>N4</v>
      </c>
      <c r="B100">
        <v>47046</v>
      </c>
      <c r="C100">
        <f>'anh'!N4</f>
      </c>
      <c r="D100">
        <f>IF(ISERROR(C100),LEFT(B100&amp;"",1)="#",IF(ISNUMBER(C100),AND(ISNUMBER(B100),ABS(C100-B100)&lt;=0.000001*MAX(1,ABS(B100))),EXACT(C100&amp;"",B100&amp;"")))</f>
      </c>
      <c r="E100">
        <f>ISERROR(C100)</f>
      </c>
    </row>
    <row r="101">
      <c r="A101" t="str">
        <v>N5</v>
      </c>
      <c r="B101">
        <v>47051</v>
      </c>
      <c r="C101">
        <f>'anh'!N5</f>
      </c>
      <c r="D101">
        <f>IF(ISERROR(C101),LEFT(B101&amp;"",1)="#",IF(ISNUMBER(C101),AND(ISNUMBER(B101),ABS(C101-B101)&lt;=0.000001*MAX(1,ABS(B101))),EXACT(C101&amp;"",B101&amp;"")))</f>
      </c>
      <c r="E101">
        <f>ISERROR(C101)</f>
      </c>
    </row>
    <row r="102">
      <c r="A102" t="str">
        <v>N6</v>
      </c>
      <c r="B102">
        <v>47030</v>
      </c>
      <c r="C102">
        <f>'anh'!N6</f>
      </c>
      <c r="D102">
        <f>IF(ISERROR(C102),LEFT(B102&amp;"",1)="#",IF(ISNUMBER(C102),AND(ISNUMBER(B102),ABS(C102-B102)&lt;=0.000001*MAX(1,ABS(B102))),EXACT(C102&amp;"",B102&amp;"")))</f>
      </c>
      <c r="E102">
        <f>ISERROR(C102)</f>
      </c>
    </row>
    <row r="103">
      <c r="A103" t="str">
        <v>N7</v>
      </c>
      <c r="B103">
        <v>47048</v>
      </c>
      <c r="C103">
        <f>'anh'!N7</f>
      </c>
      <c r="D103">
        <f>IF(ISERROR(C103),LEFT(B103&amp;"",1)="#",IF(ISNUMBER(C103),AND(ISNUMBER(B103),ABS(C103-B103)&lt;=0.000001*MAX(1,ABS(B103))),EXACT(C103&amp;"",B103&amp;"")))</f>
      </c>
      <c r="E103">
        <f>ISERROR(C103)</f>
      </c>
    </row>
    <row r="104">
      <c r="A104" t="str">
        <v>N8</v>
      </c>
      <c r="B104">
        <v>47032</v>
      </c>
      <c r="C104">
        <f>'anh'!N8</f>
      </c>
      <c r="D104">
        <f>IF(ISERROR(C104),LEFT(B104&amp;"",1)="#",IF(ISNUMBER(C104),AND(ISNUMBER(B104),ABS(C104-B104)&lt;=0.000001*MAX(1,ABS(B104))),EXACT(C104&amp;"",B104&amp;"")))</f>
      </c>
      <c r="E104">
        <f>ISERROR(C104)</f>
      </c>
    </row>
    <row r="105">
      <c r="A105" t="str">
        <v>N9</v>
      </c>
      <c r="B105">
        <v>47048</v>
      </c>
      <c r="C105">
        <f>'anh'!N9</f>
      </c>
      <c r="D105">
        <f>IF(ISERROR(C105),LEFT(B105&amp;"",1)="#",IF(ISNUMBER(C105),AND(ISNUMBER(B105),ABS(C105-B105)&lt;=0.000001*MAX(1,ABS(B105))),EXACT(C105&amp;"",B105&amp;"")))</f>
      </c>
      <c r="E105">
        <f>ISERROR(C105)</f>
      </c>
    </row>
    <row r="106">
      <c r="A106" t="str">
        <v>N10</v>
      </c>
      <c r="B106">
        <v>47045</v>
      </c>
      <c r="C106">
        <f>'anh'!N10</f>
      </c>
      <c r="D106">
        <f>IF(ISERROR(C106),LEFT(B106&amp;"",1)="#",IF(ISNUMBER(C106),AND(ISNUMBER(B106),ABS(C106-B106)&lt;=0.000001*MAX(1,ABS(B106))),EXACT(C106&amp;"",B106&amp;"")))</f>
      </c>
      <c r="E106">
        <f>ISERROR(C106)</f>
      </c>
    </row>
    <row r="107">
      <c r="A107" t="str">
        <v>N11</v>
      </c>
      <c r="B107">
        <v>47033</v>
      </c>
      <c r="C107">
        <f>'anh'!N11</f>
      </c>
      <c r="D107">
        <f>IF(ISERROR(C107),LEFT(B107&amp;"",1)="#",IF(ISNUMBER(C107),AND(ISNUMBER(B107),ABS(C107-B107)&lt;=0.000001*MAX(1,ABS(B107))),EXACT(C107&amp;"",B107&amp;"")))</f>
      </c>
      <c r="E107">
        <f>ISERROR(C107)</f>
      </c>
    </row>
    <row r="108">
      <c r="A108" t="str">
        <v>N12</v>
      </c>
      <c r="B108">
        <v>47045</v>
      </c>
      <c r="C108">
        <f>'anh'!N12</f>
      </c>
      <c r="D108">
        <f>IF(ISERROR(C108),LEFT(B108&amp;"",1)="#",IF(ISNUMBER(C108),AND(ISNUMBER(B108),ABS(C108-B108)&lt;=0.000001*MAX(1,ABS(B108))),EXACT(C108&amp;"",B108&amp;"")))</f>
      </c>
      <c r="E108">
        <f>ISERROR(C108)</f>
      </c>
    </row>
    <row r="109">
      <c r="A109" t="str">
        <v>N13</v>
      </c>
      <c r="B109">
        <v>47049</v>
      </c>
      <c r="C109">
        <f>'anh'!N13</f>
      </c>
      <c r="D109">
        <f>IF(ISERROR(C109),LEFT(B109&amp;"",1)="#",IF(ISNUMBER(C109),AND(ISNUMBER(B109),ABS(C109-B109)&lt;=0.000001*MAX(1,ABS(B109))),EXACT(C109&amp;"",B109&amp;"")))</f>
      </c>
      <c r="E109">
        <f>ISERROR(C109)</f>
      </c>
    </row>
    <row r="110">
      <c r="A110" t="str">
        <v>O2</v>
      </c>
      <c r="B110">
        <v>704</v>
      </c>
      <c r="C110">
        <f>'anh'!O2</f>
      </c>
      <c r="D110">
        <f>IF(ISERROR(C110),LEFT(B110&amp;"",1)="#",IF(ISNUMBER(C110),AND(ISNUMBER(B110),ABS(C110-B110)&lt;=0.000001*MAX(1,ABS(B110))),EXACT(C110&amp;"",B110&amp;"")))</f>
      </c>
      <c r="E110">
        <f>ISERROR(C110)</f>
      </c>
    </row>
    <row r="111">
      <c r="A111" t="str">
        <v>O3</v>
      </c>
      <c r="B111">
        <v>718</v>
      </c>
      <c r="C111">
        <f>'anh'!O3</f>
      </c>
      <c r="D111">
        <f>IF(ISERROR(C111),LEFT(B111&amp;"",1)="#",IF(ISNUMBER(C111),AND(ISNUMBER(B111),ABS(C111-B111)&lt;=0.000001*MAX(1,ABS(B111))),EXACT(C111&amp;"",B111&amp;"")))</f>
      </c>
      <c r="E111">
        <f>ISERROR(C111)</f>
      </c>
    </row>
    <row r="112">
      <c r="A112" t="str">
        <v>O4</v>
      </c>
      <c r="B112">
        <v>719</v>
      </c>
      <c r="C112">
        <f>'anh'!O4</f>
      </c>
      <c r="D112">
        <f>IF(ISERROR(C112),LEFT(B112&amp;"",1)="#",IF(ISNUMBER(C112),AND(ISNUMBER(B112),ABS(C112-B112)&lt;=0.000001*MAX(1,ABS(B112))),EXACT(C112&amp;"",B112&amp;"")))</f>
      </c>
      <c r="E112">
        <f>ISERROR(C112)</f>
      </c>
    </row>
    <row r="113">
      <c r="A113" t="str">
        <v>O5</v>
      </c>
      <c r="B113">
        <v>724</v>
      </c>
      <c r="C113">
        <f>'anh'!O5</f>
      </c>
      <c r="D113">
        <f>IF(ISERROR(C113),LEFT(B113&amp;"",1)="#",IF(ISNUMBER(C113),AND(ISNUMBER(B113),ABS(C113-B113)&lt;=0.000001*MAX(1,ABS(B113))),EXACT(C113&amp;"",B113&amp;"")))</f>
      </c>
      <c r="E113">
        <f>ISERROR(C113)</f>
      </c>
    </row>
    <row r="114">
      <c r="A114" t="str">
        <v>O6</v>
      </c>
      <c r="B114">
        <v>703</v>
      </c>
      <c r="C114">
        <f>'anh'!O6</f>
      </c>
      <c r="D114">
        <f>IF(ISERROR(C114),LEFT(B114&amp;"",1)="#",IF(ISNUMBER(C114),AND(ISNUMBER(B114),ABS(C114-B114)&lt;=0.000001*MAX(1,ABS(B114))),EXACT(C114&amp;"",B114&amp;"")))</f>
      </c>
      <c r="E114">
        <f>ISERROR(C114)</f>
      </c>
    </row>
    <row r="115">
      <c r="A115" t="str">
        <v>O7</v>
      </c>
      <c r="B115">
        <v>721</v>
      </c>
      <c r="C115">
        <f>'anh'!O7</f>
      </c>
      <c r="D115">
        <f>IF(ISERROR(C115),LEFT(B115&amp;"",1)="#",IF(ISNUMBER(C115),AND(ISNUMBER(B115),ABS(C115-B115)&lt;=0.000001*MAX(1,ABS(B115))),EXACT(C115&amp;"",B115&amp;"")))</f>
      </c>
      <c r="E115">
        <f>ISERROR(C115)</f>
      </c>
    </row>
    <row r="116">
      <c r="A116" t="str">
        <v>O8</v>
      </c>
      <c r="B116">
        <v>705</v>
      </c>
      <c r="C116">
        <f>'anh'!O8</f>
      </c>
      <c r="D116">
        <f>IF(ISERROR(C116),LEFT(B116&amp;"",1)="#",IF(ISNUMBER(C116),AND(ISNUMBER(B116),ABS(C116-B116)&lt;=0.000001*MAX(1,ABS(B116))),EXACT(C116&amp;"",B116&amp;"")))</f>
      </c>
      <c r="E116">
        <f>ISERROR(C116)</f>
      </c>
    </row>
    <row r="117">
      <c r="A117" t="str">
        <v>O9</v>
      </c>
      <c r="B117">
        <v>721</v>
      </c>
      <c r="C117">
        <f>'anh'!O9</f>
      </c>
      <c r="D117">
        <f>IF(ISERROR(C117),LEFT(B117&amp;"",1)="#",IF(ISNUMBER(C117),AND(ISNUMBER(B117),ABS(C117-B117)&lt;=0.000001*MAX(1,ABS(B117))),EXACT(C117&amp;"",B117&amp;"")))</f>
      </c>
      <c r="E117">
        <f>ISERROR(C117)</f>
      </c>
    </row>
    <row r="118">
      <c r="A118" t="str">
        <v>O10</v>
      </c>
      <c r="B118">
        <v>718</v>
      </c>
      <c r="C118">
        <f>'anh'!O10</f>
      </c>
      <c r="D118">
        <f>IF(ISERROR(C118),LEFT(B118&amp;"",1)="#",IF(ISNUMBER(C118),AND(ISNUMBER(B118),ABS(C118-B118)&lt;=0.000001*MAX(1,ABS(B118))),EXACT(C118&amp;"",B118&amp;"")))</f>
      </c>
      <c r="E118">
        <f>ISERROR(C118)</f>
      </c>
    </row>
    <row r="119">
      <c r="A119" t="str">
        <v>O11</v>
      </c>
      <c r="B119">
        <v>706</v>
      </c>
      <c r="C119">
        <f>'anh'!O11</f>
      </c>
      <c r="D119">
        <f>IF(ISERROR(C119),LEFT(B119&amp;"",1)="#",IF(ISNUMBER(C119),AND(ISNUMBER(B119),ABS(C119-B119)&lt;=0.000001*MAX(1,ABS(B119))),EXACT(C119&amp;"",B119&amp;"")))</f>
      </c>
      <c r="E119">
        <f>ISERROR(C119)</f>
      </c>
    </row>
    <row r="120">
      <c r="A120" t="str">
        <v>O12</v>
      </c>
      <c r="B120">
        <v>718</v>
      </c>
      <c r="C120">
        <f>'anh'!O12</f>
      </c>
      <c r="D120">
        <f>IF(ISERROR(C120),LEFT(B120&amp;"",1)="#",IF(ISNUMBER(C120),AND(ISNUMBER(B120),ABS(C120-B120)&lt;=0.000001*MAX(1,ABS(B120))),EXACT(C120&amp;"",B120&amp;"")))</f>
      </c>
      <c r="E120">
        <f>ISERROR(C120)</f>
      </c>
    </row>
    <row r="121">
      <c r="A121" t="str">
        <v>O13</v>
      </c>
      <c r="B121">
        <v>722</v>
      </c>
      <c r="C121">
        <f>'anh'!O13</f>
      </c>
      <c r="D121">
        <f>IF(ISERROR(C121),LEFT(B121&amp;"",1)="#",IF(ISNUMBER(C121),AND(ISNUMBER(B121),ABS(C121-B121)&lt;=0.000001*MAX(1,ABS(B121))),EXACT(C121&amp;"",B121&amp;"")))</f>
      </c>
      <c r="E121">
        <f>ISERROR(C121)</f>
      </c>
    </row>
    <row r="122">
      <c r="A122" t="str">
        <v>Z2</v>
      </c>
      <c r="B122" t="str">
        <v>C1-006</v>
      </c>
      <c r="C122">
        <f>'anh'!Z2</f>
      </c>
      <c r="D122">
        <f>IF(ISERROR(C122),LEFT(B122&amp;"",1)="#",IF(ISNUMBER(C122),AND(ISNUMBER(B122),ABS(C122-B122)&lt;=0.000001*MAX(1,ABS(B122))),EXACT(C122&amp;"",B122&amp;"")))</f>
      </c>
      <c r="E122">
        <f>ISERROR(C122)</f>
      </c>
    </row>
    <row r="123">
      <c r="A123" t="str">
        <v>Z3</v>
      </c>
      <c r="B123">
        <v>1240</v>
      </c>
      <c r="C123">
        <f>'anh'!Z3</f>
      </c>
      <c r="D123">
        <f>IF(ISERROR(C123),LEFT(B123&amp;"",1)="#",IF(ISNUMBER(C123),AND(ISNUMBER(B123),ABS(C123-B123)&lt;=0.000001*MAX(1,ABS(B123))),EXACT(C123&amp;"",B123&amp;"")))</f>
      </c>
      <c r="E123">
        <f>ISERROR(C123)</f>
      </c>
    </row>
    <row r="124">
      <c r="A124" t="str">
        <v>Z4</v>
      </c>
      <c r="B124">
        <v>1</v>
      </c>
      <c r="C124">
        <f>'anh'!Z4</f>
      </c>
      <c r="D124">
        <f>IF(ISERROR(C124),LEFT(B124&amp;"",1)="#",IF(ISNUMBER(C124),AND(ISNUMBER(B124),ABS(C124-B124)&lt;=0.000001*MAX(1,ABS(B124))),EXACT(C124&amp;"",B124&amp;"")))</f>
      </c>
      <c r="E124">
        <f>ISERROR(C124)</f>
      </c>
    </row>
    <row r="125">
      <c r="A125" t="str">
        <v>Z5</v>
      </c>
      <c r="B125">
        <v>340</v>
      </c>
      <c r="C125">
        <f>'anh'!Z5</f>
      </c>
      <c r="D125">
        <f>IF(ISERROR(C125),LEFT(B125&amp;"",1)="#",IF(ISNUMBER(C125),AND(ISNUMBER(B125),ABS(C125-B125)&lt;=0.000001*MAX(1,ABS(B125))),EXACT(C125&amp;"",B125&amp;"")))</f>
      </c>
      <c r="E125">
        <f>ISERROR(C125)</f>
      </c>
    </row>
    <row r="126">
      <c r="A126" t="str">
        <v>Z6</v>
      </c>
      <c r="B126">
        <v>345</v>
      </c>
      <c r="C126">
        <f>'anh'!Z6</f>
      </c>
      <c r="D126">
        <f>IF(ISERROR(C126),LEFT(B126&amp;"",1)="#",IF(ISNUMBER(C126),AND(ISNUMBER(B126),ABS(C126-B126)&lt;=0.000001*MAX(1,ABS(B126))),EXACT(C126&amp;"",B126&amp;"")))</f>
      </c>
      <c r="E126">
        <f>ISERROR(C126)</f>
      </c>
    </row>
    <row r="127">
      <c r="A127" t="str">
        <v>Z7</v>
      </c>
      <c r="B127">
        <v>590</v>
      </c>
      <c r="C127">
        <f>'anh'!Z7</f>
      </c>
      <c r="D127">
        <f>IF(ISERROR(C127),LEFT(B127&amp;"",1)="#",IF(ISNUMBER(C127),AND(ISNUMBER(B127),ABS(C127-B127)&lt;=0.000001*MAX(1,ABS(B127))),EXACT(C127&amp;"",B127&amp;"")))</f>
      </c>
      <c r="E127">
        <f>ISERROR(C127)</f>
      </c>
    </row>
    <row r="128">
      <c r="A128" t="str">
        <v>Z8</v>
      </c>
      <c r="B128">
        <v>720</v>
      </c>
      <c r="C128">
        <f>'anh'!Z8</f>
      </c>
      <c r="D128">
        <f>IF(ISERROR(C128),LEFT(B128&amp;"",1)="#",IF(ISNUMBER(C128),AND(ISNUMBER(B128),ABS(C128-B128)&lt;=0.000001*MAX(1,ABS(B128))),EXACT(C128&amp;"",B128&amp;"")))</f>
      </c>
      <c r="E128">
        <f>ISERROR(C128)</f>
      </c>
    </row>
    <row r="129">
      <c r="A129" t="str">
        <v>Z9</v>
      </c>
      <c r="B129">
        <v>157.12</v>
      </c>
      <c r="C129">
        <f>'anh'!Z9</f>
      </c>
      <c r="D129">
        <f>IF(ISERROR(C129),LEFT(B129&amp;"",1)="#",IF(ISNUMBER(C129),AND(ISNUMBER(B129),ABS(C129-B129)&lt;=0.000001*MAX(1,ABS(B129))),EXACT(C129&amp;"",B129&amp;"")))</f>
      </c>
      <c r="E129">
        <f>ISERROR(C129)</f>
      </c>
    </row>
    <row r="130">
      <c r="A130" t="str">
        <v>Z10</v>
      </c>
      <c r="B130">
        <v>560</v>
      </c>
      <c r="C130">
        <f>'anh'!Z10</f>
      </c>
      <c r="D130">
        <f>IF(ISERROR(C130),LEFT(B130&amp;"",1)="#",IF(ISNUMBER(C130),AND(ISNUMBER(B130),ABS(C130-B130)&lt;=0.000001*MAX(1,ABS(B130))),EXACT(C130&amp;"",B130&amp;"")))</f>
      </c>
      <c r="E130">
        <f>ISERROR(C130)</f>
      </c>
    </row>
    <row r="131">
      <c r="A131" t="str">
        <v>Z11</v>
      </c>
      <c r="B131">
        <v>3</v>
      </c>
      <c r="C131">
        <f>'anh'!Z11</f>
      </c>
      <c r="D131">
        <f>IF(ISERROR(C131),LEFT(B131&amp;"",1)="#",IF(ISNUMBER(C131),AND(ISNUMBER(B131),ABS(C131-B131)&lt;=0.000001*MAX(1,ABS(B131))),EXACT(C131&amp;"",B131&amp;"")))</f>
      </c>
      <c r="E131">
        <f>ISERROR(C131)</f>
      </c>
    </row>
    <row r="132">
      <c r="A132" t="str">
        <v>Z12</v>
      </c>
      <c r="B132">
        <v>2040</v>
      </c>
      <c r="C132">
        <f>'anh'!Z12</f>
      </c>
      <c r="D132">
        <f>IF(ISERROR(C132),LEFT(B132&amp;"",1)="#",IF(ISNUMBER(C132),AND(ISNUMBER(B132),ABS(C132-B132)&lt;=0.000001*MAX(1,ABS(B132))),EXACT(C132&amp;"",B132&amp;"")))</f>
      </c>
      <c r="E132">
        <f>ISERROR(C132)</f>
      </c>
    </row>
    <row r="133">
      <c r="A133" t="str">
        <v>Z13</v>
      </c>
      <c r="B133">
        <v>1</v>
      </c>
      <c r="C133">
        <f>'anh'!Z13</f>
      </c>
      <c r="D133">
        <f>IF(ISERROR(C133),LEFT(B133&amp;"",1)="#",IF(ISNUMBER(C133),AND(ISNUMBER(B133),ABS(C133-B133)&lt;=0.000001*MAX(1,ABS(B133))),EXACT(C133&amp;"",B133&amp;"")))</f>
      </c>
      <c r="E133">
        <f>ISERROR(C133)</f>
      </c>
    </row>
  </sheetData>
  <ignoredErrors>
    <ignoredError numberStoredAsText="1" sqref="A1:E133"/>
  </ignoredErrors>
</worksheet>
</file>

<file path=xl/worksheets/sheet3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MaTG</v>
      </c>
      <c r="B1" t="str">
        <v>DonVi</v>
      </c>
      <c r="C1" t="str">
        <v>CanhA</v>
      </c>
      <c r="D1" t="str">
        <v>CanhB</v>
      </c>
      <c r="E1" t="str">
        <v>GocC</v>
      </c>
      <c r="F1" t="str">
        <v>STT</v>
      </c>
      <c r="G1" t="str">
        <v>HeSo</v>
      </c>
      <c r="H1" t="str">
        <v>CanhC</v>
      </c>
      <c r="I1" t="str">
        <v>DienTich</v>
      </c>
      <c r="J1" t="str">
        <v>ChuVi</v>
      </c>
      <c r="K1" t="str">
        <v>DienTichM2</v>
      </c>
      <c r="L1" t="str">
        <v>LoaiGoc</v>
      </c>
      <c r="R1" t="str">
        <v>DonVi</v>
      </c>
      <c r="S1" t="str">
        <v>HeSoMet</v>
      </c>
      <c r="W1" t="str">
        <v>LoaiGoc</v>
      </c>
      <c r="Y1" t="str">
        <v>TongHop</v>
      </c>
      <c r="Z1" t="str">
        <v>KetQua</v>
      </c>
    </row>
    <row r="2">
      <c r="A2" t="str">
        <v>TG01</v>
      </c>
      <c r="B2" t="str">
        <v>cm</v>
      </c>
      <c r="C2">
        <v>15</v>
      </c>
      <c r="D2">
        <v>16</v>
      </c>
      <c r="E2">
        <v>90</v>
      </c>
      <c r="F2">
        <f>VALUE(RIGHT(A2,2))</f>
        <v>1</v>
      </c>
      <c r="G2">
        <f>VLOOKUP(B2,$R$2:$S$4,2,FALSE)</f>
        <v>0.01</v>
      </c>
      <c r="H2">
        <f>ROUND(SQRT(C2^2+D2^2-2*C2*D2*COS(RADIANS(E2))),2)</f>
        <v>21.93</v>
      </c>
      <c r="I2">
        <f>ROUND(0.5*C2*D2*SIN(RADIANS(E2)),2)</f>
        <v>120</v>
      </c>
      <c r="J2">
        <f>ROUND(C2+D2+H2,2)</f>
        <v>52.93</v>
      </c>
      <c r="K2">
        <f>ROUND(I2*POWER(G2,2),6)</f>
        <v>0.012</v>
      </c>
      <c r="L2" t="str">
        <f>IF(E2=90,"VUONG",IF(E2&lt;90,"NHON","TU"))</f>
        <v>VUONG</v>
      </c>
      <c r="R2" t="str">
        <v>cm</v>
      </c>
      <c r="S2">
        <v>0.01</v>
      </c>
      <c r="W2" t="str">
        <v>NHON</v>
      </c>
      <c r="Y2" t="str">
        <v>Ma TG co DienTich lon nhat</v>
      </c>
      <c r="Z2" t="str">
        <f>INDEX(A2:A13,MATCH(MAX(I2:I13),I2:I13,0))</f>
        <v>TG09</v>
      </c>
    </row>
    <row r="3">
      <c r="A3" t="str">
        <v>TG02</v>
      </c>
      <c r="B3" t="str">
        <v>dm</v>
      </c>
      <c r="C3">
        <v>8</v>
      </c>
      <c r="D3">
        <v>27</v>
      </c>
      <c r="E3">
        <v>60</v>
      </c>
      <c r="F3">
        <f>VALUE(RIGHT(A3,2))</f>
        <v>2</v>
      </c>
      <c r="G3">
        <f>VLOOKUP(B3,$R$2:$S$4,2,FALSE)</f>
        <v>0.1</v>
      </c>
      <c r="H3">
        <f>ROUND(SQRT(C3^2+D3^2-2*C3*D3*COS(RADIANS(E3))),2)</f>
        <v>24.02</v>
      </c>
      <c r="I3">
        <f>ROUND(0.5*C3*D3*SIN(RADIANS(E3)),2)</f>
        <v>93.53</v>
      </c>
      <c r="J3">
        <f>ROUND(C3+D3+H3,2)</f>
        <v>59.02</v>
      </c>
      <c r="K3">
        <f>ROUND(I3*POWER(G3,2),6)</f>
        <v>0.9353</v>
      </c>
      <c r="L3" t="str">
        <f>IF(E3=90,"VUONG",IF(E3&lt;90,"NHON","TU"))</f>
        <v>NHON</v>
      </c>
      <c r="R3" t="str">
        <v>dm</v>
      </c>
      <c r="S3">
        <v>0.1</v>
      </c>
      <c r="Y3" t="str">
        <v>Tong DienTich don vi cm</v>
      </c>
      <c r="Z3">
        <f>SUMIF(B2:B13,"cm",I2:I13)</f>
        <v>319.19</v>
      </c>
    </row>
    <row r="4">
      <c r="A4" t="str">
        <v>TG03</v>
      </c>
      <c r="B4" t="str">
        <v>m</v>
      </c>
      <c r="C4">
        <v>27</v>
      </c>
      <c r="D4">
        <v>11</v>
      </c>
      <c r="E4">
        <v>120</v>
      </c>
      <c r="F4">
        <f>VALUE(RIGHT(A4,2))</f>
        <v>3</v>
      </c>
      <c r="G4">
        <f>VLOOKUP(B4,$R$2:$S$4,2,FALSE)</f>
        <v>1</v>
      </c>
      <c r="H4">
        <f>ROUND(SQRT(C4^2+D4^2-2*C4*D4*COS(RADIANS(E4))),2)</f>
        <v>33.87</v>
      </c>
      <c r="I4">
        <f>ROUND(0.5*C4*D4*SIN(RADIANS(E4)),2)</f>
        <v>128.6</v>
      </c>
      <c r="J4">
        <f>ROUND(C4+D4+H4,2)</f>
        <v>71.87</v>
      </c>
      <c r="K4">
        <f>ROUND(I4*POWER(G4,2),6)</f>
        <v>128.6</v>
      </c>
      <c r="L4" t="str">
        <f>IF(E4=90,"VUONG",IF(E4&lt;90,"NHON","TU"))</f>
        <v>TU</v>
      </c>
      <c r="R4" t="str">
        <v>m</v>
      </c>
      <c r="S4">
        <v>1</v>
      </c>
      <c r="Y4" t="str">
        <v>So tam giac NHON don vi dm</v>
      </c>
      <c r="Z4">
        <f>COUNTIFS(L2:L13,"NHON",B2:B13,"dm")</f>
        <v>2</v>
      </c>
    </row>
    <row r="5">
      <c r="A5" t="str">
        <v>TG04</v>
      </c>
      <c r="B5" t="str">
        <v>dm</v>
      </c>
      <c r="C5">
        <v>11</v>
      </c>
      <c r="D5">
        <v>12</v>
      </c>
      <c r="E5">
        <v>90</v>
      </c>
      <c r="F5">
        <f>VALUE(RIGHT(A5,2))</f>
        <v>4</v>
      </c>
      <c r="G5">
        <f>VLOOKUP(B5,$R$2:$S$4,2,FALSE)</f>
        <v>0.1</v>
      </c>
      <c r="H5">
        <f>ROUND(SQRT(C5^2+D5^2-2*C5*D5*COS(RADIANS(E5))),2)</f>
        <v>16.28</v>
      </c>
      <c r="I5">
        <f>ROUND(0.5*C5*D5*SIN(RADIANS(E5)),2)</f>
        <v>66</v>
      </c>
      <c r="J5">
        <f>ROUND(C5+D5+H5,2)</f>
        <v>39.28</v>
      </c>
      <c r="K5">
        <f>ROUND(I5*POWER(G5,2),6)</f>
        <v>0.66</v>
      </c>
      <c r="L5" t="str">
        <f>IF(E5=90,"VUONG",IF(E5&lt;90,"NHON","TU"))</f>
        <v>VUONG</v>
      </c>
      <c r="Y5" t="str">
        <v>ChuVi TB don vi m</v>
      </c>
      <c r="Z5">
        <f>AVERAGEIF(B2:B13,"m",J2:J13)</f>
        <v>73.52000000000001</v>
      </c>
    </row>
    <row r="6">
      <c r="A6" t="str">
        <v>TG05</v>
      </c>
      <c r="B6" t="str">
        <v>m</v>
      </c>
      <c r="C6">
        <v>26</v>
      </c>
      <c r="D6">
        <v>9</v>
      </c>
      <c r="E6">
        <v>120</v>
      </c>
      <c r="F6">
        <f>VALUE(RIGHT(A6,2))</f>
        <v>5</v>
      </c>
      <c r="G6">
        <f>VLOOKUP(B6,$R$2:$S$4,2,FALSE)</f>
        <v>1</v>
      </c>
      <c r="H6">
        <f>ROUND(SQRT(C6^2+D6^2-2*C6*D6*COS(RADIANS(E6))),2)</f>
        <v>31.48</v>
      </c>
      <c r="I6">
        <f>ROUND(0.5*C6*D6*SIN(RADIANS(E6)),2)</f>
        <v>101.32</v>
      </c>
      <c r="J6">
        <f>ROUND(C6+D6+H6,2)</f>
        <v>66.48</v>
      </c>
      <c r="K6">
        <f>ROUND(I6*POWER(G6,2),6)</f>
        <v>101.32</v>
      </c>
      <c r="L6" t="str">
        <f>IF(E6=90,"VUONG",IF(E6&lt;90,"NHON","TU"))</f>
        <v>TU</v>
      </c>
      <c r="Y6" t="str">
        <v>DienTich lon nhat goc TU</v>
      </c>
      <c r="Z6">
        <f>_xlfn.MAXIFS(I2:I13,L2:L13,"TU")</f>
        <v>247.68</v>
      </c>
    </row>
    <row r="7">
      <c r="A7" t="str">
        <v>TG06</v>
      </c>
      <c r="B7" t="str">
        <v>m</v>
      </c>
      <c r="C7">
        <v>9</v>
      </c>
      <c r="D7">
        <v>28</v>
      </c>
      <c r="E7">
        <v>90</v>
      </c>
      <c r="F7">
        <f>VALUE(RIGHT(A7,2))</f>
        <v>6</v>
      </c>
      <c r="G7">
        <f>VLOOKUP(B7,$R$2:$S$4,2,FALSE)</f>
        <v>1</v>
      </c>
      <c r="H7">
        <f>ROUND(SQRT(C7^2+D7^2-2*C7*D7*COS(RADIANS(E7))),2)</f>
        <v>29.41</v>
      </c>
      <c r="I7">
        <f>ROUND(0.5*C7*D7*SIN(RADIANS(E7)),2)</f>
        <v>126</v>
      </c>
      <c r="J7">
        <f>ROUND(C7+D7+H7,2)</f>
        <v>66.41</v>
      </c>
      <c r="K7">
        <f>ROUND(I7*POWER(G7,2),6)</f>
        <v>126</v>
      </c>
      <c r="L7" t="str">
        <f>IF(E7=90,"VUONG",IF(E7&lt;90,"NHON","TU"))</f>
        <v>VUONG</v>
      </c>
      <c r="Y7" t="str">
        <v>DienTich trung vi</v>
      </c>
      <c r="Z7">
        <f>MEDIAN(I2:I13)</f>
        <v>97.425</v>
      </c>
    </row>
    <row r="8">
      <c r="A8" t="str">
        <v>TG07</v>
      </c>
      <c r="B8" t="str">
        <v>cm</v>
      </c>
      <c r="C8">
        <v>16</v>
      </c>
      <c r="D8">
        <v>11</v>
      </c>
      <c r="E8">
        <v>120</v>
      </c>
      <c r="F8">
        <f>VALUE(RIGHT(A8,2))</f>
        <v>7</v>
      </c>
      <c r="G8">
        <f>VLOOKUP(B8,$R$2:$S$4,2,FALSE)</f>
        <v>0.01</v>
      </c>
      <c r="H8">
        <f>ROUND(SQRT(C8^2+D8^2-2*C8*D8*COS(RADIANS(E8))),2)</f>
        <v>23.52</v>
      </c>
      <c r="I8">
        <f>ROUND(0.5*C8*D8*SIN(RADIANS(E8)),2)</f>
        <v>76.21</v>
      </c>
      <c r="J8">
        <f>ROUND(C8+D8+H8,2)</f>
        <v>50.52</v>
      </c>
      <c r="K8">
        <f>ROUND(I8*POWER(G8,2),6)</f>
        <v>0.007621</v>
      </c>
      <c r="L8" t="str">
        <f>IF(E8=90,"VUONG",IF(E8&lt;90,"NHON","TU"))</f>
        <v>TU</v>
      </c>
      <c r="Y8" t="str">
        <v>Do lech chuan ChuVi</v>
      </c>
      <c r="Z8">
        <f>ROUND(STDEV(J2:J13),2)</f>
        <v>15.21</v>
      </c>
    </row>
    <row r="9">
      <c r="A9" t="str">
        <v>TG08</v>
      </c>
      <c r="B9" t="str">
        <v>cm</v>
      </c>
      <c r="C9">
        <v>8</v>
      </c>
      <c r="D9">
        <v>16</v>
      </c>
      <c r="E9">
        <v>60</v>
      </c>
      <c r="F9">
        <f>VALUE(RIGHT(A9,2))</f>
        <v>8</v>
      </c>
      <c r="G9">
        <f>VLOOKUP(B9,$R$2:$S$4,2,FALSE)</f>
        <v>0.01</v>
      </c>
      <c r="H9">
        <f>ROUND(SQRT(C9^2+D9^2-2*C9*D9*COS(RADIANS(E9))),2)</f>
        <v>13.86</v>
      </c>
      <c r="I9">
        <f>ROUND(0.5*C9*D9*SIN(RADIANS(E9)),2)</f>
        <v>55.43</v>
      </c>
      <c r="J9">
        <f>ROUND(C9+D9+H9,2)</f>
        <v>37.86</v>
      </c>
      <c r="K9">
        <f>ROUND(I9*POWER(G9,2),6)</f>
        <v>0.005543</v>
      </c>
      <c r="L9" t="str">
        <f>IF(E9=90,"VUONG",IF(E9&lt;90,"NHON","TU"))</f>
        <v>NHON</v>
      </c>
      <c r="Y9" t="str">
        <v>DienTich lon thu hai</v>
      </c>
      <c r="Z9">
        <f>LARGE(I2:I13,2)</f>
        <v>151.55</v>
      </c>
    </row>
    <row r="10">
      <c r="A10" t="str">
        <v>TG09</v>
      </c>
      <c r="B10" t="str">
        <v>m</v>
      </c>
      <c r="C10">
        <v>22</v>
      </c>
      <c r="D10">
        <v>26</v>
      </c>
      <c r="E10">
        <v>120</v>
      </c>
      <c r="F10">
        <f>VALUE(RIGHT(A10,2))</f>
        <v>9</v>
      </c>
      <c r="G10">
        <f>VLOOKUP(B10,$R$2:$S$4,2,FALSE)</f>
        <v>1</v>
      </c>
      <c r="H10">
        <f>ROUND(SQRT(C10^2+D10^2-2*C10*D10*COS(RADIANS(E10))),2)</f>
        <v>41.62</v>
      </c>
      <c r="I10">
        <f>ROUND(0.5*C10*D10*SIN(RADIANS(E10)),2)</f>
        <v>247.68</v>
      </c>
      <c r="J10">
        <f>ROUND(C10+D10+H10,2)</f>
        <v>89.62</v>
      </c>
      <c r="K10">
        <f>ROUND(I10*POWER(G10,2),6)</f>
        <v>247.68</v>
      </c>
      <c r="L10" t="str">
        <f>IF(E10=90,"VUONG",IF(E10&lt;90,"NHON","TU"))</f>
        <v>TU</v>
      </c>
      <c r="Y10" t="str">
        <v>Tong DienTich theo tieu chi W1:W2</v>
      </c>
      <c r="Z10">
        <f>DSUM(A1:L13,"DienTich",W1:W2)</f>
        <v>194.46</v>
      </c>
    </row>
    <row r="11">
      <c r="A11" t="str">
        <v>TG10</v>
      </c>
      <c r="B11" t="str">
        <v>m</v>
      </c>
      <c r="C11">
        <v>25</v>
      </c>
      <c r="D11">
        <v>14</v>
      </c>
      <c r="E11">
        <v>120</v>
      </c>
      <c r="F11">
        <f>VALUE(RIGHT(A11,2))</f>
        <v>10</v>
      </c>
      <c r="G11">
        <f>VLOOKUP(B11,$R$2:$S$4,2,FALSE)</f>
        <v>1</v>
      </c>
      <c r="H11">
        <f>ROUND(SQRT(C11^2+D11^2-2*C11*D11*COS(RADIANS(E11))),2)</f>
        <v>34.22</v>
      </c>
      <c r="I11">
        <f>ROUND(0.5*C11*D11*SIN(RADIANS(E11)),2)</f>
        <v>151.55</v>
      </c>
      <c r="J11">
        <f>ROUND(C11+D11+H11,2)</f>
        <v>73.22</v>
      </c>
      <c r="K11">
        <f>ROUND(I11*POWER(G11,2),6)</f>
        <v>151.55</v>
      </c>
      <c r="L11" t="str">
        <f>IF(E11=90,"VUONG",IF(E11&lt;90,"NHON","TU"))</f>
        <v>TU</v>
      </c>
      <c r="Y11" t="str">
        <v>So tam giac theo tieu chi W1:W2</v>
      </c>
      <c r="Z11">
        <f>DCOUNT(A1:L13,"DienTich",W1:W2)</f>
        <v>3</v>
      </c>
    </row>
    <row r="12">
      <c r="A12" t="str">
        <v>TG11</v>
      </c>
      <c r="B12" t="str">
        <v>cm</v>
      </c>
      <c r="C12">
        <v>13</v>
      </c>
      <c r="D12">
        <v>12</v>
      </c>
      <c r="E12">
        <v>120</v>
      </c>
      <c r="F12">
        <f>VALUE(RIGHT(A12,2))</f>
        <v>11</v>
      </c>
      <c r="G12">
        <f>VLOOKUP(B12,$R$2:$S$4,2,FALSE)</f>
        <v>0.01</v>
      </c>
      <c r="H12">
        <f>ROUND(SQRT(C12^2+D12^2-2*C12*D12*COS(RADIANS(E12))),2)</f>
        <v>21.66</v>
      </c>
      <c r="I12">
        <f>ROUND(0.5*C12*D12*SIN(RADIANS(E12)),2)</f>
        <v>67.55</v>
      </c>
      <c r="J12">
        <f>ROUND(C12+D12+H12,2)</f>
        <v>46.66</v>
      </c>
      <c r="K12">
        <f>ROUND(I12*POWER(G12,2),6)</f>
        <v>0.006755</v>
      </c>
      <c r="L12" t="str">
        <f>IF(E12=90,"VUONG",IF(E12&lt;90,"NHON","TU"))</f>
        <v>TU</v>
      </c>
      <c r="Y12" t="str">
        <v>Tong DienTich goc TU</v>
      </c>
      <c r="Z12">
        <f>SUMPRODUCT((L2:L13="TU")*I2:I13)</f>
        <v>772.9099999999999</v>
      </c>
    </row>
    <row r="13">
      <c r="A13" t="str">
        <v>TG12</v>
      </c>
      <c r="B13" t="str">
        <v>dm</v>
      </c>
      <c r="C13">
        <v>7</v>
      </c>
      <c r="D13">
        <v>26</v>
      </c>
      <c r="E13">
        <v>30</v>
      </c>
      <c r="F13">
        <f>VALUE(RIGHT(A13,2))</f>
        <v>12</v>
      </c>
      <c r="G13">
        <f>VLOOKUP(B13,$R$2:$S$4,2,FALSE)</f>
        <v>0.1</v>
      </c>
      <c r="H13">
        <f>ROUND(SQRT(C13^2+D13^2-2*C13*D13*COS(RADIANS(E13))),2)</f>
        <v>20.24</v>
      </c>
      <c r="I13">
        <f>ROUND(0.5*C13*D13*SIN(RADIANS(E13)),2)</f>
        <v>45.5</v>
      </c>
      <c r="J13">
        <f>ROUND(C13+D13+H13,2)</f>
        <v>53.24</v>
      </c>
      <c r="K13">
        <f>ROUND(I13*POWER(G13,2),6)</f>
        <v>0.455</v>
      </c>
      <c r="L13" t="str">
        <f>IF(E13=90,"VUONG",IF(E13&lt;90,"NHON","TU"))</f>
        <v>NHON</v>
      </c>
      <c r="Y13" t="str">
        <v>Tong CanhA x CanhB</v>
      </c>
      <c r="Z13">
        <f>SUMPRODUCT(C2:C13,D2:D13)</f>
        <v>2935</v>
      </c>
    </row>
  </sheetData>
  <ignoredErrors>
    <ignoredError numberStoredAsText="1" sqref="A1:Z13"/>
  </ignoredErrors>
</worksheet>
</file>

<file path=xl/worksheets/sheet33.xml><?xml version="1.0" encoding="utf-8"?>
<worksheet xmlns="http://schemas.openxmlformats.org/spreadsheetml/2006/main" xmlns:r="http://schemas.openxmlformats.org/officeDocument/2006/relationships">
  <dimension ref="A1:E97"/>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1</v>
      </c>
      <c r="C2">
        <f>'toan'!F2</f>
      </c>
      <c r="D2">
        <f>IF(ISERROR(C2),LEFT(B2&amp;"",1)="#",IF(ISNUMBER(C2),AND(ISNUMBER(B2),ABS(C2-B2)&lt;=0.000001*MAX(1,ABS(B2))),EXACT(C2&amp;"",B2&amp;"")))</f>
      </c>
      <c r="E2">
        <f>ISERROR(C2)</f>
      </c>
    </row>
    <row r="3">
      <c r="A3" t="str">
        <v>F3</v>
      </c>
      <c r="B3">
        <v>2</v>
      </c>
      <c r="C3">
        <f>'toan'!F3</f>
      </c>
      <c r="D3">
        <f>IF(ISERROR(C3),LEFT(B3&amp;"",1)="#",IF(ISNUMBER(C3),AND(ISNUMBER(B3),ABS(C3-B3)&lt;=0.000001*MAX(1,ABS(B3))),EXACT(C3&amp;"",B3&amp;"")))</f>
      </c>
      <c r="E3">
        <f>ISERROR(C3)</f>
      </c>
    </row>
    <row r="4">
      <c r="A4" t="str">
        <v>F4</v>
      </c>
      <c r="B4">
        <v>3</v>
      </c>
      <c r="C4">
        <f>'toan'!F4</f>
      </c>
      <c r="D4">
        <f>IF(ISERROR(C4),LEFT(B4&amp;"",1)="#",IF(ISNUMBER(C4),AND(ISNUMBER(B4),ABS(C4-B4)&lt;=0.000001*MAX(1,ABS(B4))),EXACT(C4&amp;"",B4&amp;"")))</f>
      </c>
      <c r="E4">
        <f>ISERROR(C4)</f>
      </c>
    </row>
    <row r="5">
      <c r="A5" t="str">
        <v>F5</v>
      </c>
      <c r="B5">
        <v>4</v>
      </c>
      <c r="C5">
        <f>'toan'!F5</f>
      </c>
      <c r="D5">
        <f>IF(ISERROR(C5),LEFT(B5&amp;"",1)="#",IF(ISNUMBER(C5),AND(ISNUMBER(B5),ABS(C5-B5)&lt;=0.000001*MAX(1,ABS(B5))),EXACT(C5&amp;"",B5&amp;"")))</f>
      </c>
      <c r="E5">
        <f>ISERROR(C5)</f>
      </c>
    </row>
    <row r="6">
      <c r="A6" t="str">
        <v>F6</v>
      </c>
      <c r="B6">
        <v>5</v>
      </c>
      <c r="C6">
        <f>'toan'!F6</f>
      </c>
      <c r="D6">
        <f>IF(ISERROR(C6),LEFT(B6&amp;"",1)="#",IF(ISNUMBER(C6),AND(ISNUMBER(B6),ABS(C6-B6)&lt;=0.000001*MAX(1,ABS(B6))),EXACT(C6&amp;"",B6&amp;"")))</f>
      </c>
      <c r="E6">
        <f>ISERROR(C6)</f>
      </c>
    </row>
    <row r="7">
      <c r="A7" t="str">
        <v>F7</v>
      </c>
      <c r="B7">
        <v>6</v>
      </c>
      <c r="C7">
        <f>'toan'!F7</f>
      </c>
      <c r="D7">
        <f>IF(ISERROR(C7),LEFT(B7&amp;"",1)="#",IF(ISNUMBER(C7),AND(ISNUMBER(B7),ABS(C7-B7)&lt;=0.000001*MAX(1,ABS(B7))),EXACT(C7&amp;"",B7&amp;"")))</f>
      </c>
      <c r="E7">
        <f>ISERROR(C7)</f>
      </c>
    </row>
    <row r="8">
      <c r="A8" t="str">
        <v>F8</v>
      </c>
      <c r="B8">
        <v>7</v>
      </c>
      <c r="C8">
        <f>'toan'!F8</f>
      </c>
      <c r="D8">
        <f>IF(ISERROR(C8),LEFT(B8&amp;"",1)="#",IF(ISNUMBER(C8),AND(ISNUMBER(B8),ABS(C8-B8)&lt;=0.000001*MAX(1,ABS(B8))),EXACT(C8&amp;"",B8&amp;"")))</f>
      </c>
      <c r="E8">
        <f>ISERROR(C8)</f>
      </c>
    </row>
    <row r="9">
      <c r="A9" t="str">
        <v>F9</v>
      </c>
      <c r="B9">
        <v>8</v>
      </c>
      <c r="C9">
        <f>'toan'!F9</f>
      </c>
      <c r="D9">
        <f>IF(ISERROR(C9),LEFT(B9&amp;"",1)="#",IF(ISNUMBER(C9),AND(ISNUMBER(B9),ABS(C9-B9)&lt;=0.000001*MAX(1,ABS(B9))),EXACT(C9&amp;"",B9&amp;"")))</f>
      </c>
      <c r="E9">
        <f>ISERROR(C9)</f>
      </c>
    </row>
    <row r="10">
      <c r="A10" t="str">
        <v>F10</v>
      </c>
      <c r="B10">
        <v>9</v>
      </c>
      <c r="C10">
        <f>'toan'!F10</f>
      </c>
      <c r="D10">
        <f>IF(ISERROR(C10),LEFT(B10&amp;"",1)="#",IF(ISNUMBER(C10),AND(ISNUMBER(B10),ABS(C10-B10)&lt;=0.000001*MAX(1,ABS(B10))),EXACT(C10&amp;"",B10&amp;"")))</f>
      </c>
      <c r="E10">
        <f>ISERROR(C10)</f>
      </c>
    </row>
    <row r="11">
      <c r="A11" t="str">
        <v>F11</v>
      </c>
      <c r="B11">
        <v>10</v>
      </c>
      <c r="C11">
        <f>'toan'!F11</f>
      </c>
      <c r="D11">
        <f>IF(ISERROR(C11),LEFT(B11&amp;"",1)="#",IF(ISNUMBER(C11),AND(ISNUMBER(B11),ABS(C11-B11)&lt;=0.000001*MAX(1,ABS(B11))),EXACT(C11&amp;"",B11&amp;"")))</f>
      </c>
      <c r="E11">
        <f>ISERROR(C11)</f>
      </c>
    </row>
    <row r="12">
      <c r="A12" t="str">
        <v>F12</v>
      </c>
      <c r="B12">
        <v>11</v>
      </c>
      <c r="C12">
        <f>'toan'!F12</f>
      </c>
      <c r="D12">
        <f>IF(ISERROR(C12),LEFT(B12&amp;"",1)="#",IF(ISNUMBER(C12),AND(ISNUMBER(B12),ABS(C12-B12)&lt;=0.000001*MAX(1,ABS(B12))),EXACT(C12&amp;"",B12&amp;"")))</f>
      </c>
      <c r="E12">
        <f>ISERROR(C12)</f>
      </c>
    </row>
    <row r="13">
      <c r="A13" t="str">
        <v>F13</v>
      </c>
      <c r="B13">
        <v>12</v>
      </c>
      <c r="C13">
        <f>'toan'!F13</f>
      </c>
      <c r="D13">
        <f>IF(ISERROR(C13),LEFT(B13&amp;"",1)="#",IF(ISNUMBER(C13),AND(ISNUMBER(B13),ABS(C13-B13)&lt;=0.000001*MAX(1,ABS(B13))),EXACT(C13&amp;"",B13&amp;"")))</f>
      </c>
      <c r="E13">
        <f>ISERROR(C13)</f>
      </c>
    </row>
    <row r="14">
      <c r="A14" t="str">
        <v>G2</v>
      </c>
      <c r="B14">
        <v>0.01</v>
      </c>
      <c r="C14">
        <f>'toan'!G2</f>
      </c>
      <c r="D14">
        <f>IF(ISERROR(C14),LEFT(B14&amp;"",1)="#",IF(ISNUMBER(C14),AND(ISNUMBER(B14),ABS(C14-B14)&lt;=0.000001*MAX(1,ABS(B14))),EXACT(C14&amp;"",B14&amp;"")))</f>
      </c>
      <c r="E14">
        <f>ISERROR(C14)</f>
      </c>
    </row>
    <row r="15">
      <c r="A15" t="str">
        <v>G3</v>
      </c>
      <c r="B15">
        <v>0.1</v>
      </c>
      <c r="C15">
        <f>'toan'!G3</f>
      </c>
      <c r="D15">
        <f>IF(ISERROR(C15),LEFT(B15&amp;"",1)="#",IF(ISNUMBER(C15),AND(ISNUMBER(B15),ABS(C15-B15)&lt;=0.000001*MAX(1,ABS(B15))),EXACT(C15&amp;"",B15&amp;"")))</f>
      </c>
      <c r="E15">
        <f>ISERROR(C15)</f>
      </c>
    </row>
    <row r="16">
      <c r="A16" t="str">
        <v>G4</v>
      </c>
      <c r="B16">
        <v>1</v>
      </c>
      <c r="C16">
        <f>'toan'!G4</f>
      </c>
      <c r="D16">
        <f>IF(ISERROR(C16),LEFT(B16&amp;"",1)="#",IF(ISNUMBER(C16),AND(ISNUMBER(B16),ABS(C16-B16)&lt;=0.000001*MAX(1,ABS(B16))),EXACT(C16&amp;"",B16&amp;"")))</f>
      </c>
      <c r="E16">
        <f>ISERROR(C16)</f>
      </c>
    </row>
    <row r="17">
      <c r="A17" t="str">
        <v>G5</v>
      </c>
      <c r="B17">
        <v>0.1</v>
      </c>
      <c r="C17">
        <f>'toan'!G5</f>
      </c>
      <c r="D17">
        <f>IF(ISERROR(C17),LEFT(B17&amp;"",1)="#",IF(ISNUMBER(C17),AND(ISNUMBER(B17),ABS(C17-B17)&lt;=0.000001*MAX(1,ABS(B17))),EXACT(C17&amp;"",B17&amp;"")))</f>
      </c>
      <c r="E17">
        <f>ISERROR(C17)</f>
      </c>
    </row>
    <row r="18">
      <c r="A18" t="str">
        <v>G6</v>
      </c>
      <c r="B18">
        <v>1</v>
      </c>
      <c r="C18">
        <f>'toan'!G6</f>
      </c>
      <c r="D18">
        <f>IF(ISERROR(C18),LEFT(B18&amp;"",1)="#",IF(ISNUMBER(C18),AND(ISNUMBER(B18),ABS(C18-B18)&lt;=0.000001*MAX(1,ABS(B18))),EXACT(C18&amp;"",B18&amp;"")))</f>
      </c>
      <c r="E18">
        <f>ISERROR(C18)</f>
      </c>
    </row>
    <row r="19">
      <c r="A19" t="str">
        <v>G7</v>
      </c>
      <c r="B19">
        <v>1</v>
      </c>
      <c r="C19">
        <f>'toan'!G7</f>
      </c>
      <c r="D19">
        <f>IF(ISERROR(C19),LEFT(B19&amp;"",1)="#",IF(ISNUMBER(C19),AND(ISNUMBER(B19),ABS(C19-B19)&lt;=0.000001*MAX(1,ABS(B19))),EXACT(C19&amp;"",B19&amp;"")))</f>
      </c>
      <c r="E19">
        <f>ISERROR(C19)</f>
      </c>
    </row>
    <row r="20">
      <c r="A20" t="str">
        <v>G8</v>
      </c>
      <c r="B20">
        <v>0.01</v>
      </c>
      <c r="C20">
        <f>'toan'!G8</f>
      </c>
      <c r="D20">
        <f>IF(ISERROR(C20),LEFT(B20&amp;"",1)="#",IF(ISNUMBER(C20),AND(ISNUMBER(B20),ABS(C20-B20)&lt;=0.000001*MAX(1,ABS(B20))),EXACT(C20&amp;"",B20&amp;"")))</f>
      </c>
      <c r="E20">
        <f>ISERROR(C20)</f>
      </c>
    </row>
    <row r="21">
      <c r="A21" t="str">
        <v>G9</v>
      </c>
      <c r="B21">
        <v>0.01</v>
      </c>
      <c r="C21">
        <f>'toan'!G9</f>
      </c>
      <c r="D21">
        <f>IF(ISERROR(C21),LEFT(B21&amp;"",1)="#",IF(ISNUMBER(C21),AND(ISNUMBER(B21),ABS(C21-B21)&lt;=0.000001*MAX(1,ABS(B21))),EXACT(C21&amp;"",B21&amp;"")))</f>
      </c>
      <c r="E21">
        <f>ISERROR(C21)</f>
      </c>
    </row>
    <row r="22">
      <c r="A22" t="str">
        <v>G10</v>
      </c>
      <c r="B22">
        <v>1</v>
      </c>
      <c r="C22">
        <f>'toan'!G10</f>
      </c>
      <c r="D22">
        <f>IF(ISERROR(C22),LEFT(B22&amp;"",1)="#",IF(ISNUMBER(C22),AND(ISNUMBER(B22),ABS(C22-B22)&lt;=0.000001*MAX(1,ABS(B22))),EXACT(C22&amp;"",B22&amp;"")))</f>
      </c>
      <c r="E22">
        <f>ISERROR(C22)</f>
      </c>
    </row>
    <row r="23">
      <c r="A23" t="str">
        <v>G11</v>
      </c>
      <c r="B23">
        <v>1</v>
      </c>
      <c r="C23">
        <f>'toan'!G11</f>
      </c>
      <c r="D23">
        <f>IF(ISERROR(C23),LEFT(B23&amp;"",1)="#",IF(ISNUMBER(C23),AND(ISNUMBER(B23),ABS(C23-B23)&lt;=0.000001*MAX(1,ABS(B23))),EXACT(C23&amp;"",B23&amp;"")))</f>
      </c>
      <c r="E23">
        <f>ISERROR(C23)</f>
      </c>
    </row>
    <row r="24">
      <c r="A24" t="str">
        <v>G12</v>
      </c>
      <c r="B24">
        <v>0.01</v>
      </c>
      <c r="C24">
        <f>'toan'!G12</f>
      </c>
      <c r="D24">
        <f>IF(ISERROR(C24),LEFT(B24&amp;"",1)="#",IF(ISNUMBER(C24),AND(ISNUMBER(B24),ABS(C24-B24)&lt;=0.000001*MAX(1,ABS(B24))),EXACT(C24&amp;"",B24&amp;"")))</f>
      </c>
      <c r="E24">
        <f>ISERROR(C24)</f>
      </c>
    </row>
    <row r="25">
      <c r="A25" t="str">
        <v>G13</v>
      </c>
      <c r="B25">
        <v>0.1</v>
      </c>
      <c r="C25">
        <f>'toan'!G13</f>
      </c>
      <c r="D25">
        <f>IF(ISERROR(C25),LEFT(B25&amp;"",1)="#",IF(ISNUMBER(C25),AND(ISNUMBER(B25),ABS(C25-B25)&lt;=0.000001*MAX(1,ABS(B25))),EXACT(C25&amp;"",B25&amp;"")))</f>
      </c>
      <c r="E25">
        <f>ISERROR(C25)</f>
      </c>
    </row>
    <row r="26">
      <c r="A26" t="str">
        <v>H2</v>
      </c>
      <c r="B26">
        <v>21.93</v>
      </c>
      <c r="C26">
        <f>'toan'!H2</f>
      </c>
      <c r="D26">
        <f>IF(ISERROR(C26),LEFT(B26&amp;"",1)="#",IF(ISNUMBER(C26),AND(ISNUMBER(B26),ABS(C26-B26)&lt;=0.000001*MAX(1,ABS(B26))),EXACT(C26&amp;"",B26&amp;"")))</f>
      </c>
      <c r="E26">
        <f>ISERROR(C26)</f>
      </c>
    </row>
    <row r="27">
      <c r="A27" t="str">
        <v>H3</v>
      </c>
      <c r="B27">
        <v>24.02</v>
      </c>
      <c r="C27">
        <f>'toan'!H3</f>
      </c>
      <c r="D27">
        <f>IF(ISERROR(C27),LEFT(B27&amp;"",1)="#",IF(ISNUMBER(C27),AND(ISNUMBER(B27),ABS(C27-B27)&lt;=0.000001*MAX(1,ABS(B27))),EXACT(C27&amp;"",B27&amp;"")))</f>
      </c>
      <c r="E27">
        <f>ISERROR(C27)</f>
      </c>
    </row>
    <row r="28">
      <c r="A28" t="str">
        <v>H4</v>
      </c>
      <c r="B28">
        <v>33.87</v>
      </c>
      <c r="C28">
        <f>'toan'!H4</f>
      </c>
      <c r="D28">
        <f>IF(ISERROR(C28),LEFT(B28&amp;"",1)="#",IF(ISNUMBER(C28),AND(ISNUMBER(B28),ABS(C28-B28)&lt;=0.000001*MAX(1,ABS(B28))),EXACT(C28&amp;"",B28&amp;"")))</f>
      </c>
      <c r="E28">
        <f>ISERROR(C28)</f>
      </c>
    </row>
    <row r="29">
      <c r="A29" t="str">
        <v>H5</v>
      </c>
      <c r="B29">
        <v>16.28</v>
      </c>
      <c r="C29">
        <f>'toan'!H5</f>
      </c>
      <c r="D29">
        <f>IF(ISERROR(C29),LEFT(B29&amp;"",1)="#",IF(ISNUMBER(C29),AND(ISNUMBER(B29),ABS(C29-B29)&lt;=0.000001*MAX(1,ABS(B29))),EXACT(C29&amp;"",B29&amp;"")))</f>
      </c>
      <c r="E29">
        <f>ISERROR(C29)</f>
      </c>
    </row>
    <row r="30">
      <c r="A30" t="str">
        <v>H6</v>
      </c>
      <c r="B30">
        <v>31.48</v>
      </c>
      <c r="C30">
        <f>'toan'!H6</f>
      </c>
      <c r="D30">
        <f>IF(ISERROR(C30),LEFT(B30&amp;"",1)="#",IF(ISNUMBER(C30),AND(ISNUMBER(B30),ABS(C30-B30)&lt;=0.000001*MAX(1,ABS(B30))),EXACT(C30&amp;"",B30&amp;"")))</f>
      </c>
      <c r="E30">
        <f>ISERROR(C30)</f>
      </c>
    </row>
    <row r="31">
      <c r="A31" t="str">
        <v>H7</v>
      </c>
      <c r="B31">
        <v>29.41</v>
      </c>
      <c r="C31">
        <f>'toan'!H7</f>
      </c>
      <c r="D31">
        <f>IF(ISERROR(C31),LEFT(B31&amp;"",1)="#",IF(ISNUMBER(C31),AND(ISNUMBER(B31),ABS(C31-B31)&lt;=0.000001*MAX(1,ABS(B31))),EXACT(C31&amp;"",B31&amp;"")))</f>
      </c>
      <c r="E31">
        <f>ISERROR(C31)</f>
      </c>
    </row>
    <row r="32">
      <c r="A32" t="str">
        <v>H8</v>
      </c>
      <c r="B32">
        <v>23.52</v>
      </c>
      <c r="C32">
        <f>'toan'!H8</f>
      </c>
      <c r="D32">
        <f>IF(ISERROR(C32),LEFT(B32&amp;"",1)="#",IF(ISNUMBER(C32),AND(ISNUMBER(B32),ABS(C32-B32)&lt;=0.000001*MAX(1,ABS(B32))),EXACT(C32&amp;"",B32&amp;"")))</f>
      </c>
      <c r="E32">
        <f>ISERROR(C32)</f>
      </c>
    </row>
    <row r="33">
      <c r="A33" t="str">
        <v>H9</v>
      </c>
      <c r="B33">
        <v>13.86</v>
      </c>
      <c r="C33">
        <f>'toan'!H9</f>
      </c>
      <c r="D33">
        <f>IF(ISERROR(C33),LEFT(B33&amp;"",1)="#",IF(ISNUMBER(C33),AND(ISNUMBER(B33),ABS(C33-B33)&lt;=0.000001*MAX(1,ABS(B33))),EXACT(C33&amp;"",B33&amp;"")))</f>
      </c>
      <c r="E33">
        <f>ISERROR(C33)</f>
      </c>
    </row>
    <row r="34">
      <c r="A34" t="str">
        <v>H10</v>
      </c>
      <c r="B34">
        <v>41.62</v>
      </c>
      <c r="C34">
        <f>'toan'!H10</f>
      </c>
      <c r="D34">
        <f>IF(ISERROR(C34),LEFT(B34&amp;"",1)="#",IF(ISNUMBER(C34),AND(ISNUMBER(B34),ABS(C34-B34)&lt;=0.000001*MAX(1,ABS(B34))),EXACT(C34&amp;"",B34&amp;"")))</f>
      </c>
      <c r="E34">
        <f>ISERROR(C34)</f>
      </c>
    </row>
    <row r="35">
      <c r="A35" t="str">
        <v>H11</v>
      </c>
      <c r="B35">
        <v>34.22</v>
      </c>
      <c r="C35">
        <f>'toan'!H11</f>
      </c>
      <c r="D35">
        <f>IF(ISERROR(C35),LEFT(B35&amp;"",1)="#",IF(ISNUMBER(C35),AND(ISNUMBER(B35),ABS(C35-B35)&lt;=0.000001*MAX(1,ABS(B35))),EXACT(C35&amp;"",B35&amp;"")))</f>
      </c>
      <c r="E35">
        <f>ISERROR(C35)</f>
      </c>
    </row>
    <row r="36">
      <c r="A36" t="str">
        <v>H12</v>
      </c>
      <c r="B36">
        <v>21.66</v>
      </c>
      <c r="C36">
        <f>'toan'!H12</f>
      </c>
      <c r="D36">
        <f>IF(ISERROR(C36),LEFT(B36&amp;"",1)="#",IF(ISNUMBER(C36),AND(ISNUMBER(B36),ABS(C36-B36)&lt;=0.000001*MAX(1,ABS(B36))),EXACT(C36&amp;"",B36&amp;"")))</f>
      </c>
      <c r="E36">
        <f>ISERROR(C36)</f>
      </c>
    </row>
    <row r="37">
      <c r="A37" t="str">
        <v>H13</v>
      </c>
      <c r="B37">
        <v>20.24</v>
      </c>
      <c r="C37">
        <f>'toan'!H13</f>
      </c>
      <c r="D37">
        <f>IF(ISERROR(C37),LEFT(B37&amp;"",1)="#",IF(ISNUMBER(C37),AND(ISNUMBER(B37),ABS(C37-B37)&lt;=0.000001*MAX(1,ABS(B37))),EXACT(C37&amp;"",B37&amp;"")))</f>
      </c>
      <c r="E37">
        <f>ISERROR(C37)</f>
      </c>
    </row>
    <row r="38">
      <c r="A38" t="str">
        <v>I2</v>
      </c>
      <c r="B38">
        <v>120</v>
      </c>
      <c r="C38">
        <f>'toan'!I2</f>
      </c>
      <c r="D38">
        <f>IF(ISERROR(C38),LEFT(B38&amp;"",1)="#",IF(ISNUMBER(C38),AND(ISNUMBER(B38),ABS(C38-B38)&lt;=0.000001*MAX(1,ABS(B38))),EXACT(C38&amp;"",B38&amp;"")))</f>
      </c>
      <c r="E38">
        <f>ISERROR(C38)</f>
      </c>
    </row>
    <row r="39">
      <c r="A39" t="str">
        <v>I3</v>
      </c>
      <c r="B39">
        <v>93.53</v>
      </c>
      <c r="C39">
        <f>'toan'!I3</f>
      </c>
      <c r="D39">
        <f>IF(ISERROR(C39),LEFT(B39&amp;"",1)="#",IF(ISNUMBER(C39),AND(ISNUMBER(B39),ABS(C39-B39)&lt;=0.000001*MAX(1,ABS(B39))),EXACT(C39&amp;"",B39&amp;"")))</f>
      </c>
      <c r="E39">
        <f>ISERROR(C39)</f>
      </c>
    </row>
    <row r="40">
      <c r="A40" t="str">
        <v>I4</v>
      </c>
      <c r="B40">
        <v>128.6</v>
      </c>
      <c r="C40">
        <f>'toan'!I4</f>
      </c>
      <c r="D40">
        <f>IF(ISERROR(C40),LEFT(B40&amp;"",1)="#",IF(ISNUMBER(C40),AND(ISNUMBER(B40),ABS(C40-B40)&lt;=0.000001*MAX(1,ABS(B40))),EXACT(C40&amp;"",B40&amp;"")))</f>
      </c>
      <c r="E40">
        <f>ISERROR(C40)</f>
      </c>
    </row>
    <row r="41">
      <c r="A41" t="str">
        <v>I5</v>
      </c>
      <c r="B41">
        <v>66</v>
      </c>
      <c r="C41">
        <f>'toan'!I5</f>
      </c>
      <c r="D41">
        <f>IF(ISERROR(C41),LEFT(B41&amp;"",1)="#",IF(ISNUMBER(C41),AND(ISNUMBER(B41),ABS(C41-B41)&lt;=0.000001*MAX(1,ABS(B41))),EXACT(C41&amp;"",B41&amp;"")))</f>
      </c>
      <c r="E41">
        <f>ISERROR(C41)</f>
      </c>
    </row>
    <row r="42">
      <c r="A42" t="str">
        <v>I6</v>
      </c>
      <c r="B42">
        <v>101.32</v>
      </c>
      <c r="C42">
        <f>'toan'!I6</f>
      </c>
      <c r="D42">
        <f>IF(ISERROR(C42),LEFT(B42&amp;"",1)="#",IF(ISNUMBER(C42),AND(ISNUMBER(B42),ABS(C42-B42)&lt;=0.000001*MAX(1,ABS(B42))),EXACT(C42&amp;"",B42&amp;"")))</f>
      </c>
      <c r="E42">
        <f>ISERROR(C42)</f>
      </c>
    </row>
    <row r="43">
      <c r="A43" t="str">
        <v>I7</v>
      </c>
      <c r="B43">
        <v>126</v>
      </c>
      <c r="C43">
        <f>'toan'!I7</f>
      </c>
      <c r="D43">
        <f>IF(ISERROR(C43),LEFT(B43&amp;"",1)="#",IF(ISNUMBER(C43),AND(ISNUMBER(B43),ABS(C43-B43)&lt;=0.000001*MAX(1,ABS(B43))),EXACT(C43&amp;"",B43&amp;"")))</f>
      </c>
      <c r="E43">
        <f>ISERROR(C43)</f>
      </c>
    </row>
    <row r="44">
      <c r="A44" t="str">
        <v>I8</v>
      </c>
      <c r="B44">
        <v>76.21</v>
      </c>
      <c r="C44">
        <f>'toan'!I8</f>
      </c>
      <c r="D44">
        <f>IF(ISERROR(C44),LEFT(B44&amp;"",1)="#",IF(ISNUMBER(C44),AND(ISNUMBER(B44),ABS(C44-B44)&lt;=0.000001*MAX(1,ABS(B44))),EXACT(C44&amp;"",B44&amp;"")))</f>
      </c>
      <c r="E44">
        <f>ISERROR(C44)</f>
      </c>
    </row>
    <row r="45">
      <c r="A45" t="str">
        <v>I9</v>
      </c>
      <c r="B45">
        <v>55.43</v>
      </c>
      <c r="C45">
        <f>'toan'!I9</f>
      </c>
      <c r="D45">
        <f>IF(ISERROR(C45),LEFT(B45&amp;"",1)="#",IF(ISNUMBER(C45),AND(ISNUMBER(B45),ABS(C45-B45)&lt;=0.000001*MAX(1,ABS(B45))),EXACT(C45&amp;"",B45&amp;"")))</f>
      </c>
      <c r="E45">
        <f>ISERROR(C45)</f>
      </c>
    </row>
    <row r="46">
      <c r="A46" t="str">
        <v>I10</v>
      </c>
      <c r="B46">
        <v>247.68</v>
      </c>
      <c r="C46">
        <f>'toan'!I10</f>
      </c>
      <c r="D46">
        <f>IF(ISERROR(C46),LEFT(B46&amp;"",1)="#",IF(ISNUMBER(C46),AND(ISNUMBER(B46),ABS(C46-B46)&lt;=0.000001*MAX(1,ABS(B46))),EXACT(C46&amp;"",B46&amp;"")))</f>
      </c>
      <c r="E46">
        <f>ISERROR(C46)</f>
      </c>
    </row>
    <row r="47">
      <c r="A47" t="str">
        <v>I11</v>
      </c>
      <c r="B47">
        <v>151.55</v>
      </c>
      <c r="C47">
        <f>'toan'!I11</f>
      </c>
      <c r="D47">
        <f>IF(ISERROR(C47),LEFT(B47&amp;"",1)="#",IF(ISNUMBER(C47),AND(ISNUMBER(B47),ABS(C47-B47)&lt;=0.000001*MAX(1,ABS(B47))),EXACT(C47&amp;"",B47&amp;"")))</f>
      </c>
      <c r="E47">
        <f>ISERROR(C47)</f>
      </c>
    </row>
    <row r="48">
      <c r="A48" t="str">
        <v>I12</v>
      </c>
      <c r="B48">
        <v>67.55</v>
      </c>
      <c r="C48">
        <f>'toan'!I12</f>
      </c>
      <c r="D48">
        <f>IF(ISERROR(C48),LEFT(B48&amp;"",1)="#",IF(ISNUMBER(C48),AND(ISNUMBER(B48),ABS(C48-B48)&lt;=0.000001*MAX(1,ABS(B48))),EXACT(C48&amp;"",B48&amp;"")))</f>
      </c>
      <c r="E48">
        <f>ISERROR(C48)</f>
      </c>
    </row>
    <row r="49">
      <c r="A49" t="str">
        <v>I13</v>
      </c>
      <c r="B49">
        <v>45.5</v>
      </c>
      <c r="C49">
        <f>'toan'!I13</f>
      </c>
      <c r="D49">
        <f>IF(ISERROR(C49),LEFT(B49&amp;"",1)="#",IF(ISNUMBER(C49),AND(ISNUMBER(B49),ABS(C49-B49)&lt;=0.000001*MAX(1,ABS(B49))),EXACT(C49&amp;"",B49&amp;"")))</f>
      </c>
      <c r="E49">
        <f>ISERROR(C49)</f>
      </c>
    </row>
    <row r="50">
      <c r="A50" t="str">
        <v>J2</v>
      </c>
      <c r="B50">
        <v>52.93</v>
      </c>
      <c r="C50">
        <f>'toan'!J2</f>
      </c>
      <c r="D50">
        <f>IF(ISERROR(C50),LEFT(B50&amp;"",1)="#",IF(ISNUMBER(C50),AND(ISNUMBER(B50),ABS(C50-B50)&lt;=0.000001*MAX(1,ABS(B50))),EXACT(C50&amp;"",B50&amp;"")))</f>
      </c>
      <c r="E50">
        <f>ISERROR(C50)</f>
      </c>
    </row>
    <row r="51">
      <c r="A51" t="str">
        <v>J3</v>
      </c>
      <c r="B51">
        <v>59.02</v>
      </c>
      <c r="C51">
        <f>'toan'!J3</f>
      </c>
      <c r="D51">
        <f>IF(ISERROR(C51),LEFT(B51&amp;"",1)="#",IF(ISNUMBER(C51),AND(ISNUMBER(B51),ABS(C51-B51)&lt;=0.000001*MAX(1,ABS(B51))),EXACT(C51&amp;"",B51&amp;"")))</f>
      </c>
      <c r="E51">
        <f>ISERROR(C51)</f>
      </c>
    </row>
    <row r="52">
      <c r="A52" t="str">
        <v>J4</v>
      </c>
      <c r="B52">
        <v>71.87</v>
      </c>
      <c r="C52">
        <f>'toan'!J4</f>
      </c>
      <c r="D52">
        <f>IF(ISERROR(C52),LEFT(B52&amp;"",1)="#",IF(ISNUMBER(C52),AND(ISNUMBER(B52),ABS(C52-B52)&lt;=0.000001*MAX(1,ABS(B52))),EXACT(C52&amp;"",B52&amp;"")))</f>
      </c>
      <c r="E52">
        <f>ISERROR(C52)</f>
      </c>
    </row>
    <row r="53">
      <c r="A53" t="str">
        <v>J5</v>
      </c>
      <c r="B53">
        <v>39.28</v>
      </c>
      <c r="C53">
        <f>'toan'!J5</f>
      </c>
      <c r="D53">
        <f>IF(ISERROR(C53),LEFT(B53&amp;"",1)="#",IF(ISNUMBER(C53),AND(ISNUMBER(B53),ABS(C53-B53)&lt;=0.000001*MAX(1,ABS(B53))),EXACT(C53&amp;"",B53&amp;"")))</f>
      </c>
      <c r="E53">
        <f>ISERROR(C53)</f>
      </c>
    </row>
    <row r="54">
      <c r="A54" t="str">
        <v>J6</v>
      </c>
      <c r="B54">
        <v>66.48</v>
      </c>
      <c r="C54">
        <f>'toan'!J6</f>
      </c>
      <c r="D54">
        <f>IF(ISERROR(C54),LEFT(B54&amp;"",1)="#",IF(ISNUMBER(C54),AND(ISNUMBER(B54),ABS(C54-B54)&lt;=0.000001*MAX(1,ABS(B54))),EXACT(C54&amp;"",B54&amp;"")))</f>
      </c>
      <c r="E54">
        <f>ISERROR(C54)</f>
      </c>
    </row>
    <row r="55">
      <c r="A55" t="str">
        <v>J7</v>
      </c>
      <c r="B55">
        <v>66.41</v>
      </c>
      <c r="C55">
        <f>'toan'!J7</f>
      </c>
      <c r="D55">
        <f>IF(ISERROR(C55),LEFT(B55&amp;"",1)="#",IF(ISNUMBER(C55),AND(ISNUMBER(B55),ABS(C55-B55)&lt;=0.000001*MAX(1,ABS(B55))),EXACT(C55&amp;"",B55&amp;"")))</f>
      </c>
      <c r="E55">
        <f>ISERROR(C55)</f>
      </c>
    </row>
    <row r="56">
      <c r="A56" t="str">
        <v>J8</v>
      </c>
      <c r="B56">
        <v>50.52</v>
      </c>
      <c r="C56">
        <f>'toan'!J8</f>
      </c>
      <c r="D56">
        <f>IF(ISERROR(C56),LEFT(B56&amp;"",1)="#",IF(ISNUMBER(C56),AND(ISNUMBER(B56),ABS(C56-B56)&lt;=0.000001*MAX(1,ABS(B56))),EXACT(C56&amp;"",B56&amp;"")))</f>
      </c>
      <c r="E56">
        <f>ISERROR(C56)</f>
      </c>
    </row>
    <row r="57">
      <c r="A57" t="str">
        <v>J9</v>
      </c>
      <c r="B57">
        <v>37.86</v>
      </c>
      <c r="C57">
        <f>'toan'!J9</f>
      </c>
      <c r="D57">
        <f>IF(ISERROR(C57),LEFT(B57&amp;"",1)="#",IF(ISNUMBER(C57),AND(ISNUMBER(B57),ABS(C57-B57)&lt;=0.000001*MAX(1,ABS(B57))),EXACT(C57&amp;"",B57&amp;"")))</f>
      </c>
      <c r="E57">
        <f>ISERROR(C57)</f>
      </c>
    </row>
    <row r="58">
      <c r="A58" t="str">
        <v>J10</v>
      </c>
      <c r="B58">
        <v>89.62</v>
      </c>
      <c r="C58">
        <f>'toan'!J10</f>
      </c>
      <c r="D58">
        <f>IF(ISERROR(C58),LEFT(B58&amp;"",1)="#",IF(ISNUMBER(C58),AND(ISNUMBER(B58),ABS(C58-B58)&lt;=0.000001*MAX(1,ABS(B58))),EXACT(C58&amp;"",B58&amp;"")))</f>
      </c>
      <c r="E58">
        <f>ISERROR(C58)</f>
      </c>
    </row>
    <row r="59">
      <c r="A59" t="str">
        <v>J11</v>
      </c>
      <c r="B59">
        <v>73.22</v>
      </c>
      <c r="C59">
        <f>'toan'!J11</f>
      </c>
      <c r="D59">
        <f>IF(ISERROR(C59),LEFT(B59&amp;"",1)="#",IF(ISNUMBER(C59),AND(ISNUMBER(B59),ABS(C59-B59)&lt;=0.000001*MAX(1,ABS(B59))),EXACT(C59&amp;"",B59&amp;"")))</f>
      </c>
      <c r="E59">
        <f>ISERROR(C59)</f>
      </c>
    </row>
    <row r="60">
      <c r="A60" t="str">
        <v>J12</v>
      </c>
      <c r="B60">
        <v>46.66</v>
      </c>
      <c r="C60">
        <f>'toan'!J12</f>
      </c>
      <c r="D60">
        <f>IF(ISERROR(C60),LEFT(B60&amp;"",1)="#",IF(ISNUMBER(C60),AND(ISNUMBER(B60),ABS(C60-B60)&lt;=0.000001*MAX(1,ABS(B60))),EXACT(C60&amp;"",B60&amp;"")))</f>
      </c>
      <c r="E60">
        <f>ISERROR(C60)</f>
      </c>
    </row>
    <row r="61">
      <c r="A61" t="str">
        <v>J13</v>
      </c>
      <c r="B61">
        <v>53.24</v>
      </c>
      <c r="C61">
        <f>'toan'!J13</f>
      </c>
      <c r="D61">
        <f>IF(ISERROR(C61),LEFT(B61&amp;"",1)="#",IF(ISNUMBER(C61),AND(ISNUMBER(B61),ABS(C61-B61)&lt;=0.000001*MAX(1,ABS(B61))),EXACT(C61&amp;"",B61&amp;"")))</f>
      </c>
      <c r="E61">
        <f>ISERROR(C61)</f>
      </c>
    </row>
    <row r="62">
      <c r="A62" t="str">
        <v>K2</v>
      </c>
      <c r="B62">
        <v>0.012</v>
      </c>
      <c r="C62">
        <f>'toan'!K2</f>
      </c>
      <c r="D62">
        <f>IF(ISERROR(C62),LEFT(B62&amp;"",1)="#",IF(ISNUMBER(C62),AND(ISNUMBER(B62),ABS(C62-B62)&lt;=0.000001*MAX(1,ABS(B62))),EXACT(C62&amp;"",B62&amp;"")))</f>
      </c>
      <c r="E62">
        <f>ISERROR(C62)</f>
      </c>
    </row>
    <row r="63">
      <c r="A63" t="str">
        <v>K3</v>
      </c>
      <c r="B63">
        <v>0.9353</v>
      </c>
      <c r="C63">
        <f>'toan'!K3</f>
      </c>
      <c r="D63">
        <f>IF(ISERROR(C63),LEFT(B63&amp;"",1)="#",IF(ISNUMBER(C63),AND(ISNUMBER(B63),ABS(C63-B63)&lt;=0.000001*MAX(1,ABS(B63))),EXACT(C63&amp;"",B63&amp;"")))</f>
      </c>
      <c r="E63">
        <f>ISERROR(C63)</f>
      </c>
    </row>
    <row r="64">
      <c r="A64" t="str">
        <v>K4</v>
      </c>
      <c r="B64">
        <v>128.6</v>
      </c>
      <c r="C64">
        <f>'toan'!K4</f>
      </c>
      <c r="D64">
        <f>IF(ISERROR(C64),LEFT(B64&amp;"",1)="#",IF(ISNUMBER(C64),AND(ISNUMBER(B64),ABS(C64-B64)&lt;=0.000001*MAX(1,ABS(B64))),EXACT(C64&amp;"",B64&amp;"")))</f>
      </c>
      <c r="E64">
        <f>ISERROR(C64)</f>
      </c>
    </row>
    <row r="65">
      <c r="A65" t="str">
        <v>K5</v>
      </c>
      <c r="B65">
        <v>0.66</v>
      </c>
      <c r="C65">
        <f>'toan'!K5</f>
      </c>
      <c r="D65">
        <f>IF(ISERROR(C65),LEFT(B65&amp;"",1)="#",IF(ISNUMBER(C65),AND(ISNUMBER(B65),ABS(C65-B65)&lt;=0.000001*MAX(1,ABS(B65))),EXACT(C65&amp;"",B65&amp;"")))</f>
      </c>
      <c r="E65">
        <f>ISERROR(C65)</f>
      </c>
    </row>
    <row r="66">
      <c r="A66" t="str">
        <v>K6</v>
      </c>
      <c r="B66">
        <v>101.32</v>
      </c>
      <c r="C66">
        <f>'toan'!K6</f>
      </c>
      <c r="D66">
        <f>IF(ISERROR(C66),LEFT(B66&amp;"",1)="#",IF(ISNUMBER(C66),AND(ISNUMBER(B66),ABS(C66-B66)&lt;=0.000001*MAX(1,ABS(B66))),EXACT(C66&amp;"",B66&amp;"")))</f>
      </c>
      <c r="E66">
        <f>ISERROR(C66)</f>
      </c>
    </row>
    <row r="67">
      <c r="A67" t="str">
        <v>K7</v>
      </c>
      <c r="B67">
        <v>126</v>
      </c>
      <c r="C67">
        <f>'toan'!K7</f>
      </c>
      <c r="D67">
        <f>IF(ISERROR(C67),LEFT(B67&amp;"",1)="#",IF(ISNUMBER(C67),AND(ISNUMBER(B67),ABS(C67-B67)&lt;=0.000001*MAX(1,ABS(B67))),EXACT(C67&amp;"",B67&amp;"")))</f>
      </c>
      <c r="E67">
        <f>ISERROR(C67)</f>
      </c>
    </row>
    <row r="68">
      <c r="A68" t="str">
        <v>K8</v>
      </c>
      <c r="B68">
        <v>0.007621</v>
      </c>
      <c r="C68">
        <f>'toan'!K8</f>
      </c>
      <c r="D68">
        <f>IF(ISERROR(C68),LEFT(B68&amp;"",1)="#",IF(ISNUMBER(C68),AND(ISNUMBER(B68),ABS(C68-B68)&lt;=0.000001*MAX(1,ABS(B68))),EXACT(C68&amp;"",B68&amp;"")))</f>
      </c>
      <c r="E68">
        <f>ISERROR(C68)</f>
      </c>
    </row>
    <row r="69">
      <c r="A69" t="str">
        <v>K9</v>
      </c>
      <c r="B69">
        <v>0.005543</v>
      </c>
      <c r="C69">
        <f>'toan'!K9</f>
      </c>
      <c r="D69">
        <f>IF(ISERROR(C69),LEFT(B69&amp;"",1)="#",IF(ISNUMBER(C69),AND(ISNUMBER(B69),ABS(C69-B69)&lt;=0.000001*MAX(1,ABS(B69))),EXACT(C69&amp;"",B69&amp;"")))</f>
      </c>
      <c r="E69">
        <f>ISERROR(C69)</f>
      </c>
    </row>
    <row r="70">
      <c r="A70" t="str">
        <v>K10</v>
      </c>
      <c r="B70">
        <v>247.68</v>
      </c>
      <c r="C70">
        <f>'toan'!K10</f>
      </c>
      <c r="D70">
        <f>IF(ISERROR(C70),LEFT(B70&amp;"",1)="#",IF(ISNUMBER(C70),AND(ISNUMBER(B70),ABS(C70-B70)&lt;=0.000001*MAX(1,ABS(B70))),EXACT(C70&amp;"",B70&amp;"")))</f>
      </c>
      <c r="E70">
        <f>ISERROR(C70)</f>
      </c>
    </row>
    <row r="71">
      <c r="A71" t="str">
        <v>K11</v>
      </c>
      <c r="B71">
        <v>151.55</v>
      </c>
      <c r="C71">
        <f>'toan'!K11</f>
      </c>
      <c r="D71">
        <f>IF(ISERROR(C71),LEFT(B71&amp;"",1)="#",IF(ISNUMBER(C71),AND(ISNUMBER(B71),ABS(C71-B71)&lt;=0.000001*MAX(1,ABS(B71))),EXACT(C71&amp;"",B71&amp;"")))</f>
      </c>
      <c r="E71">
        <f>ISERROR(C71)</f>
      </c>
    </row>
    <row r="72">
      <c r="A72" t="str">
        <v>K12</v>
      </c>
      <c r="B72">
        <v>0.006755</v>
      </c>
      <c r="C72">
        <f>'toan'!K12</f>
      </c>
      <c r="D72">
        <f>IF(ISERROR(C72),LEFT(B72&amp;"",1)="#",IF(ISNUMBER(C72),AND(ISNUMBER(B72),ABS(C72-B72)&lt;=0.000001*MAX(1,ABS(B72))),EXACT(C72&amp;"",B72&amp;"")))</f>
      </c>
      <c r="E72">
        <f>ISERROR(C72)</f>
      </c>
    </row>
    <row r="73">
      <c r="A73" t="str">
        <v>K13</v>
      </c>
      <c r="B73">
        <v>0.455</v>
      </c>
      <c r="C73">
        <f>'toan'!K13</f>
      </c>
      <c r="D73">
        <f>IF(ISERROR(C73),LEFT(B73&amp;"",1)="#",IF(ISNUMBER(C73),AND(ISNUMBER(B73),ABS(C73-B73)&lt;=0.000001*MAX(1,ABS(B73))),EXACT(C73&amp;"",B73&amp;"")))</f>
      </c>
      <c r="E73">
        <f>ISERROR(C73)</f>
      </c>
    </row>
    <row r="74">
      <c r="A74" t="str">
        <v>L2</v>
      </c>
      <c r="B74" t="str">
        <v>VUONG</v>
      </c>
      <c r="C74">
        <f>'toan'!L2</f>
      </c>
      <c r="D74">
        <f>IF(ISERROR(C74),LEFT(B74&amp;"",1)="#",IF(ISNUMBER(C74),AND(ISNUMBER(B74),ABS(C74-B74)&lt;=0.000001*MAX(1,ABS(B74))),EXACT(C74&amp;"",B74&amp;"")))</f>
      </c>
      <c r="E74">
        <f>ISERROR(C74)</f>
      </c>
    </row>
    <row r="75">
      <c r="A75" t="str">
        <v>L3</v>
      </c>
      <c r="B75" t="str">
        <v>NHON</v>
      </c>
      <c r="C75">
        <f>'toan'!L3</f>
      </c>
      <c r="D75">
        <f>IF(ISERROR(C75),LEFT(B75&amp;"",1)="#",IF(ISNUMBER(C75),AND(ISNUMBER(B75),ABS(C75-B75)&lt;=0.000001*MAX(1,ABS(B75))),EXACT(C75&amp;"",B75&amp;"")))</f>
      </c>
      <c r="E75">
        <f>ISERROR(C75)</f>
      </c>
    </row>
    <row r="76">
      <c r="A76" t="str">
        <v>L4</v>
      </c>
      <c r="B76" t="str">
        <v>TU</v>
      </c>
      <c r="C76">
        <f>'toan'!L4</f>
      </c>
      <c r="D76">
        <f>IF(ISERROR(C76),LEFT(B76&amp;"",1)="#",IF(ISNUMBER(C76),AND(ISNUMBER(B76),ABS(C76-B76)&lt;=0.000001*MAX(1,ABS(B76))),EXACT(C76&amp;"",B76&amp;"")))</f>
      </c>
      <c r="E76">
        <f>ISERROR(C76)</f>
      </c>
    </row>
    <row r="77">
      <c r="A77" t="str">
        <v>L5</v>
      </c>
      <c r="B77" t="str">
        <v>VUONG</v>
      </c>
      <c r="C77">
        <f>'toan'!L5</f>
      </c>
      <c r="D77">
        <f>IF(ISERROR(C77),LEFT(B77&amp;"",1)="#",IF(ISNUMBER(C77),AND(ISNUMBER(B77),ABS(C77-B77)&lt;=0.000001*MAX(1,ABS(B77))),EXACT(C77&amp;"",B77&amp;"")))</f>
      </c>
      <c r="E77">
        <f>ISERROR(C77)</f>
      </c>
    </row>
    <row r="78">
      <c r="A78" t="str">
        <v>L6</v>
      </c>
      <c r="B78" t="str">
        <v>TU</v>
      </c>
      <c r="C78">
        <f>'toan'!L6</f>
      </c>
      <c r="D78">
        <f>IF(ISERROR(C78),LEFT(B78&amp;"",1)="#",IF(ISNUMBER(C78),AND(ISNUMBER(B78),ABS(C78-B78)&lt;=0.000001*MAX(1,ABS(B78))),EXACT(C78&amp;"",B78&amp;"")))</f>
      </c>
      <c r="E78">
        <f>ISERROR(C78)</f>
      </c>
    </row>
    <row r="79">
      <c r="A79" t="str">
        <v>L7</v>
      </c>
      <c r="B79" t="str">
        <v>VUONG</v>
      </c>
      <c r="C79">
        <f>'toan'!L7</f>
      </c>
      <c r="D79">
        <f>IF(ISERROR(C79),LEFT(B79&amp;"",1)="#",IF(ISNUMBER(C79),AND(ISNUMBER(B79),ABS(C79-B79)&lt;=0.000001*MAX(1,ABS(B79))),EXACT(C79&amp;"",B79&amp;"")))</f>
      </c>
      <c r="E79">
        <f>ISERROR(C79)</f>
      </c>
    </row>
    <row r="80">
      <c r="A80" t="str">
        <v>L8</v>
      </c>
      <c r="B80" t="str">
        <v>TU</v>
      </c>
      <c r="C80">
        <f>'toan'!L8</f>
      </c>
      <c r="D80">
        <f>IF(ISERROR(C80),LEFT(B80&amp;"",1)="#",IF(ISNUMBER(C80),AND(ISNUMBER(B80),ABS(C80-B80)&lt;=0.000001*MAX(1,ABS(B80))),EXACT(C80&amp;"",B80&amp;"")))</f>
      </c>
      <c r="E80">
        <f>ISERROR(C80)</f>
      </c>
    </row>
    <row r="81">
      <c r="A81" t="str">
        <v>L9</v>
      </c>
      <c r="B81" t="str">
        <v>NHON</v>
      </c>
      <c r="C81">
        <f>'toan'!L9</f>
      </c>
      <c r="D81">
        <f>IF(ISERROR(C81),LEFT(B81&amp;"",1)="#",IF(ISNUMBER(C81),AND(ISNUMBER(B81),ABS(C81-B81)&lt;=0.000001*MAX(1,ABS(B81))),EXACT(C81&amp;"",B81&amp;"")))</f>
      </c>
      <c r="E81">
        <f>ISERROR(C81)</f>
      </c>
    </row>
    <row r="82">
      <c r="A82" t="str">
        <v>L10</v>
      </c>
      <c r="B82" t="str">
        <v>TU</v>
      </c>
      <c r="C82">
        <f>'toan'!L10</f>
      </c>
      <c r="D82">
        <f>IF(ISERROR(C82),LEFT(B82&amp;"",1)="#",IF(ISNUMBER(C82),AND(ISNUMBER(B82),ABS(C82-B82)&lt;=0.000001*MAX(1,ABS(B82))),EXACT(C82&amp;"",B82&amp;"")))</f>
      </c>
      <c r="E82">
        <f>ISERROR(C82)</f>
      </c>
    </row>
    <row r="83">
      <c r="A83" t="str">
        <v>L11</v>
      </c>
      <c r="B83" t="str">
        <v>TU</v>
      </c>
      <c r="C83">
        <f>'toan'!L11</f>
      </c>
      <c r="D83">
        <f>IF(ISERROR(C83),LEFT(B83&amp;"",1)="#",IF(ISNUMBER(C83),AND(ISNUMBER(B83),ABS(C83-B83)&lt;=0.000001*MAX(1,ABS(B83))),EXACT(C83&amp;"",B83&amp;"")))</f>
      </c>
      <c r="E83">
        <f>ISERROR(C83)</f>
      </c>
    </row>
    <row r="84">
      <c r="A84" t="str">
        <v>L12</v>
      </c>
      <c r="B84" t="str">
        <v>TU</v>
      </c>
      <c r="C84">
        <f>'toan'!L12</f>
      </c>
      <c r="D84">
        <f>IF(ISERROR(C84),LEFT(B84&amp;"",1)="#",IF(ISNUMBER(C84),AND(ISNUMBER(B84),ABS(C84-B84)&lt;=0.000001*MAX(1,ABS(B84))),EXACT(C84&amp;"",B84&amp;"")))</f>
      </c>
      <c r="E84">
        <f>ISERROR(C84)</f>
      </c>
    </row>
    <row r="85">
      <c r="A85" t="str">
        <v>L13</v>
      </c>
      <c r="B85" t="str">
        <v>NHON</v>
      </c>
      <c r="C85">
        <f>'toan'!L13</f>
      </c>
      <c r="D85">
        <f>IF(ISERROR(C85),LEFT(B85&amp;"",1)="#",IF(ISNUMBER(C85),AND(ISNUMBER(B85),ABS(C85-B85)&lt;=0.000001*MAX(1,ABS(B85))),EXACT(C85&amp;"",B85&amp;"")))</f>
      </c>
      <c r="E85">
        <f>ISERROR(C85)</f>
      </c>
    </row>
    <row r="86">
      <c r="A86" t="str">
        <v>Z2</v>
      </c>
      <c r="B86" t="str">
        <v>TG09</v>
      </c>
      <c r="C86">
        <f>'toan'!Z2</f>
      </c>
      <c r="D86">
        <f>IF(ISERROR(C86),LEFT(B86&amp;"",1)="#",IF(ISNUMBER(C86),AND(ISNUMBER(B86),ABS(C86-B86)&lt;=0.000001*MAX(1,ABS(B86))),EXACT(C86&amp;"",B86&amp;"")))</f>
      </c>
      <c r="E86">
        <f>ISERROR(C86)</f>
      </c>
    </row>
    <row r="87">
      <c r="A87" t="str">
        <v>Z3</v>
      </c>
      <c r="B87">
        <v>319.19</v>
      </c>
      <c r="C87">
        <f>'toan'!Z3</f>
      </c>
      <c r="D87">
        <f>IF(ISERROR(C87),LEFT(B87&amp;"",1)="#",IF(ISNUMBER(C87),AND(ISNUMBER(B87),ABS(C87-B87)&lt;=0.000001*MAX(1,ABS(B87))),EXACT(C87&amp;"",B87&amp;"")))</f>
      </c>
      <c r="E87">
        <f>ISERROR(C87)</f>
      </c>
    </row>
    <row r="88">
      <c r="A88" t="str">
        <v>Z4</v>
      </c>
      <c r="B88">
        <v>2</v>
      </c>
      <c r="C88">
        <f>'toan'!Z4</f>
      </c>
      <c r="D88">
        <f>IF(ISERROR(C88),LEFT(B88&amp;"",1)="#",IF(ISNUMBER(C88),AND(ISNUMBER(B88),ABS(C88-B88)&lt;=0.000001*MAX(1,ABS(B88))),EXACT(C88&amp;"",B88&amp;"")))</f>
      </c>
      <c r="E88">
        <f>ISERROR(C88)</f>
      </c>
    </row>
    <row r="89">
      <c r="A89" t="str">
        <v>Z5</v>
      </c>
      <c r="B89">
        <v>73.52000000000001</v>
      </c>
      <c r="C89">
        <f>'toan'!Z5</f>
      </c>
      <c r="D89">
        <f>IF(ISERROR(C89),LEFT(B89&amp;"",1)="#",IF(ISNUMBER(C89),AND(ISNUMBER(B89),ABS(C89-B89)&lt;=0.000001*MAX(1,ABS(B89))),EXACT(C89&amp;"",B89&amp;"")))</f>
      </c>
      <c r="E89">
        <f>ISERROR(C89)</f>
      </c>
    </row>
    <row r="90">
      <c r="A90" t="str">
        <v>Z6</v>
      </c>
      <c r="B90">
        <v>247.68</v>
      </c>
      <c r="C90">
        <f>'toan'!Z6</f>
      </c>
      <c r="D90">
        <f>IF(ISERROR(C90),LEFT(B90&amp;"",1)="#",IF(ISNUMBER(C90),AND(ISNUMBER(B90),ABS(C90-B90)&lt;=0.000001*MAX(1,ABS(B90))),EXACT(C90&amp;"",B90&amp;"")))</f>
      </c>
      <c r="E90">
        <f>ISERROR(C90)</f>
      </c>
    </row>
    <row r="91">
      <c r="A91" t="str">
        <v>Z7</v>
      </c>
      <c r="B91">
        <v>97.425</v>
      </c>
      <c r="C91">
        <f>'toan'!Z7</f>
      </c>
      <c r="D91">
        <f>IF(ISERROR(C91),LEFT(B91&amp;"",1)="#",IF(ISNUMBER(C91),AND(ISNUMBER(B91),ABS(C91-B91)&lt;=0.000001*MAX(1,ABS(B91))),EXACT(C91&amp;"",B91&amp;"")))</f>
      </c>
      <c r="E91">
        <f>ISERROR(C91)</f>
      </c>
    </row>
    <row r="92">
      <c r="A92" t="str">
        <v>Z8</v>
      </c>
      <c r="B92">
        <v>15.21</v>
      </c>
      <c r="C92">
        <f>'toan'!Z8</f>
      </c>
      <c r="D92">
        <f>IF(ISERROR(C92),LEFT(B92&amp;"",1)="#",IF(ISNUMBER(C92),AND(ISNUMBER(B92),ABS(C92-B92)&lt;=0.000001*MAX(1,ABS(B92))),EXACT(C92&amp;"",B92&amp;"")))</f>
      </c>
      <c r="E92">
        <f>ISERROR(C92)</f>
      </c>
    </row>
    <row r="93">
      <c r="A93" t="str">
        <v>Z9</v>
      </c>
      <c r="B93">
        <v>151.55</v>
      </c>
      <c r="C93">
        <f>'toan'!Z9</f>
      </c>
      <c r="D93">
        <f>IF(ISERROR(C93),LEFT(B93&amp;"",1)="#",IF(ISNUMBER(C93),AND(ISNUMBER(B93),ABS(C93-B93)&lt;=0.000001*MAX(1,ABS(B93))),EXACT(C93&amp;"",B93&amp;"")))</f>
      </c>
      <c r="E93">
        <f>ISERROR(C93)</f>
      </c>
    </row>
    <row r="94">
      <c r="A94" t="str">
        <v>Z10</v>
      </c>
      <c r="B94">
        <v>194.46</v>
      </c>
      <c r="C94">
        <f>'toan'!Z10</f>
      </c>
      <c r="D94">
        <f>IF(ISERROR(C94),LEFT(B94&amp;"",1)="#",IF(ISNUMBER(C94),AND(ISNUMBER(B94),ABS(C94-B94)&lt;=0.000001*MAX(1,ABS(B94))),EXACT(C94&amp;"",B94&amp;"")))</f>
      </c>
      <c r="E94">
        <f>ISERROR(C94)</f>
      </c>
    </row>
    <row r="95">
      <c r="A95" t="str">
        <v>Z11</v>
      </c>
      <c r="B95">
        <v>3</v>
      </c>
      <c r="C95">
        <f>'toan'!Z11</f>
      </c>
      <c r="D95">
        <f>IF(ISERROR(C95),LEFT(B95&amp;"",1)="#",IF(ISNUMBER(C95),AND(ISNUMBER(B95),ABS(C95-B95)&lt;=0.000001*MAX(1,ABS(B95))),EXACT(C95&amp;"",B95&amp;"")))</f>
      </c>
      <c r="E95">
        <f>ISERROR(C95)</f>
      </c>
    </row>
    <row r="96">
      <c r="A96" t="str">
        <v>Z12</v>
      </c>
      <c r="B96">
        <v>772.9099999999999</v>
      </c>
      <c r="C96">
        <f>'toan'!Z12</f>
      </c>
      <c r="D96">
        <f>IF(ISERROR(C96),LEFT(B96&amp;"",1)="#",IF(ISNUMBER(C96),AND(ISNUMBER(B96),ABS(C96-B96)&lt;=0.000001*MAX(1,ABS(B96))),EXACT(C96&amp;"",B96&amp;"")))</f>
      </c>
      <c r="E96">
        <f>ISERROR(C96)</f>
      </c>
    </row>
    <row r="97">
      <c r="A97" t="str">
        <v>Z13</v>
      </c>
      <c r="B97">
        <v>2935</v>
      </c>
      <c r="C97">
        <f>'toan'!Z13</f>
      </c>
      <c r="D97">
        <f>IF(ISERROR(C97),LEFT(B97&amp;"",1)="#",IF(ISNUMBER(C97),AND(ISNUMBER(B97),ABS(C97-B97)&lt;=0.000001*MAX(1,ABS(B97))),EXACT(C97&amp;"",B97&amp;"")))</f>
      </c>
      <c r="E97">
        <f>ISERROR(C97)</f>
      </c>
    </row>
  </sheetData>
  <ignoredErrors>
    <ignoredError numberStoredAsText="1" sqref="A1:E97"/>
  </ignoredErrors>
</worksheet>
</file>

<file path=xl/worksheets/sheet3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MaHS2</v>
      </c>
      <c r="B1" t="str">
        <v>a</v>
      </c>
      <c r="C1" t="str">
        <v>b</v>
      </c>
      <c r="D1" t="str">
        <v>c</v>
      </c>
      <c r="E1" t="str">
        <v>Delta</v>
      </c>
      <c r="F1" t="str">
        <v>XDinh</v>
      </c>
      <c r="G1" t="str">
        <v>YDinh</v>
      </c>
      <c r="H1" t="str">
        <v>BeLom</v>
      </c>
      <c r="I1" t="str">
        <v>GiaTri1</v>
      </c>
      <c r="W1" t="str">
        <v>BeLom</v>
      </c>
      <c r="Y1" t="str">
        <v>TongHop</v>
      </c>
      <c r="Z1" t="str">
        <v>KetQua</v>
      </c>
    </row>
    <row r="2">
      <c r="A2" t="str">
        <v>HS01</v>
      </c>
      <c r="B2">
        <v>2</v>
      </c>
      <c r="C2">
        <v>-1</v>
      </c>
      <c r="D2">
        <v>0</v>
      </c>
      <c r="E2">
        <f>C2^2-4*B2*D2</f>
        <v>1</v>
      </c>
      <c r="F2">
        <f>ROUND(-C2/(2*B2),2)</f>
        <v>0.25</v>
      </c>
      <c r="G2">
        <f>ROUND(-E2/(4*B2),2)</f>
        <v>-0.13</v>
      </c>
      <c r="H2" t="str">
        <f>IF(B2&gt;0,"LEN","XUONG")</f>
        <v>LEN</v>
      </c>
      <c r="I2">
        <f>B2+C2+D2</f>
        <v>1</v>
      </c>
      <c r="W2" t="str">
        <v>LEN</v>
      </c>
      <c r="Y2" t="str">
        <v>Ma MaHS2 co YDinh lon nhat</v>
      </c>
      <c r="Z2" t="str">
        <f>INDEX(A2:A13,MATCH(MAX(G2:G13),G2:G13,0))</f>
        <v>HS05</v>
      </c>
    </row>
    <row r="3">
      <c r="A3" t="str">
        <v>HS02</v>
      </c>
      <c r="B3">
        <v>-3</v>
      </c>
      <c r="C3">
        <v>-5</v>
      </c>
      <c r="D3">
        <v>6</v>
      </c>
      <c r="E3">
        <f>C3^2-4*B3*D3</f>
        <v>97</v>
      </c>
      <c r="F3">
        <f>ROUND(-C3/(2*B3),2)</f>
        <v>-0.83</v>
      </c>
      <c r="G3">
        <f>ROUND(-E3/(4*B3),2)</f>
        <v>8.08</v>
      </c>
      <c r="H3" t="str">
        <f>IF(B3&gt;0,"LEN","XUONG")</f>
        <v>XUONG</v>
      </c>
      <c r="I3">
        <f>B3+C3+D3</f>
        <v>-2</v>
      </c>
      <c r="Y3" t="str">
        <v>Tong Delta khi BeLom = LEN</v>
      </c>
      <c r="Z3">
        <f>SUMIF(H2:H13,"LEN",E2:E13)</f>
        <v>-174</v>
      </c>
    </row>
    <row r="4">
      <c r="A4" t="str">
        <v>HS03</v>
      </c>
      <c r="B4">
        <v>-3</v>
      </c>
      <c r="C4">
        <v>6</v>
      </c>
      <c r="D4">
        <v>-3</v>
      </c>
      <c r="E4">
        <f>C4^2-4*B4*D4</f>
        <v>0</v>
      </c>
      <c r="F4">
        <f>ROUND(-C4/(2*B4),2)</f>
        <v>1</v>
      </c>
      <c r="G4">
        <f>ROUND(-E4/(4*B4),2)</f>
        <v>0</v>
      </c>
      <c r="H4" t="str">
        <f>IF(B4&gt;0,"LEN","XUONG")</f>
        <v>XUONG</v>
      </c>
      <c r="I4">
        <f>B4+C4+D4</f>
        <v>0</v>
      </c>
      <c r="Y4" t="str">
        <v>So dong BeLom = XUONG, c &gt;0</v>
      </c>
      <c r="Z4">
        <f>COUNTIFS(H2:H13,"XUONG",D2:D13,"&gt;0")</f>
        <v>3</v>
      </c>
    </row>
    <row r="5">
      <c r="A5" t="str">
        <v>HS04</v>
      </c>
      <c r="B5">
        <v>3</v>
      </c>
      <c r="C5">
        <v>2</v>
      </c>
      <c r="D5">
        <v>-3</v>
      </c>
      <c r="E5">
        <f>C5^2-4*B5*D5</f>
        <v>40</v>
      </c>
      <c r="F5">
        <f>ROUND(-C5/(2*B5),2)</f>
        <v>-0.33</v>
      </c>
      <c r="G5">
        <f>ROUND(-E5/(4*B5),2)</f>
        <v>-3.33</v>
      </c>
      <c r="H5" t="str">
        <f>IF(B5&gt;0,"LEN","XUONG")</f>
        <v>LEN</v>
      </c>
      <c r="I5">
        <f>B5+C5+D5</f>
        <v>2</v>
      </c>
      <c r="Y5" t="str">
        <v>XDinh trung binh khi BeLom = LEN</v>
      </c>
      <c r="Z5">
        <f>AVERAGEIF(H2:H13,"LEN",F2:F13)</f>
        <v>0.10714285714285712</v>
      </c>
    </row>
    <row r="6">
      <c r="A6" t="str">
        <v>HS05</v>
      </c>
      <c r="B6">
        <v>-1</v>
      </c>
      <c r="C6">
        <v>6</v>
      </c>
      <c r="D6">
        <v>4</v>
      </c>
      <c r="E6">
        <f>C6^2-4*B6*D6</f>
        <v>52</v>
      </c>
      <c r="F6">
        <f>ROUND(-C6/(2*B6),2)</f>
        <v>3</v>
      </c>
      <c r="G6">
        <f>ROUND(-E6/(4*B6),2)</f>
        <v>13</v>
      </c>
      <c r="H6" t="str">
        <f>IF(B6&gt;0,"LEN","XUONG")</f>
        <v>XUONG</v>
      </c>
      <c r="I6">
        <f>B6+C6+D6</f>
        <v>9</v>
      </c>
      <c r="Y6" t="str">
        <v>YDinh lon nhat khi BeLom = XUONG</v>
      </c>
      <c r="Z6">
        <f>_xlfn.MAXIFS(G2:G13,H2:H13,"XUONG")</f>
        <v>13</v>
      </c>
    </row>
    <row r="7">
      <c r="A7" t="str">
        <v>HS06</v>
      </c>
      <c r="B7">
        <v>3</v>
      </c>
      <c r="C7">
        <v>-5</v>
      </c>
      <c r="D7">
        <v>5</v>
      </c>
      <c r="E7">
        <f>C7^2-4*B7*D7</f>
        <v>-35</v>
      </c>
      <c r="F7">
        <f>ROUND(-C7/(2*B7),2)</f>
        <v>0.83</v>
      </c>
      <c r="G7">
        <f>ROUND(-E7/(4*B7),2)</f>
        <v>2.92</v>
      </c>
      <c r="H7" t="str">
        <f>IF(B7&gt;0,"LEN","XUONG")</f>
        <v>LEN</v>
      </c>
      <c r="I7">
        <f>B7+C7+D7</f>
        <v>3</v>
      </c>
      <c r="Y7" t="str">
        <v>Delta trung vi</v>
      </c>
      <c r="Z7">
        <f>MEDIAN(E2:E13)</f>
        <v>0.5</v>
      </c>
    </row>
    <row r="8">
      <c r="A8" t="str">
        <v>HS07</v>
      </c>
      <c r="B8">
        <v>4</v>
      </c>
      <c r="C8">
        <v>-5</v>
      </c>
      <c r="D8">
        <v>7</v>
      </c>
      <c r="E8">
        <f>C8^2-4*B8*D8</f>
        <v>-87</v>
      </c>
      <c r="F8">
        <f>ROUND(-C8/(2*B8),2)</f>
        <v>0.63</v>
      </c>
      <c r="G8">
        <f>ROUND(-E8/(4*B8),2)</f>
        <v>5.44</v>
      </c>
      <c r="H8" t="str">
        <f>IF(B8&gt;0,"LEN","XUONG")</f>
        <v>LEN</v>
      </c>
      <c r="I8">
        <f>B8+C8+D8</f>
        <v>6</v>
      </c>
      <c r="Y8" t="str">
        <v>Delta lon thu hai</v>
      </c>
      <c r="Z8">
        <f>LARGE(E2:E13,2)</f>
        <v>52</v>
      </c>
    </row>
    <row r="9">
      <c r="A9" t="str">
        <v>HS08</v>
      </c>
      <c r="B9">
        <v>4</v>
      </c>
      <c r="C9">
        <v>-5</v>
      </c>
      <c r="D9">
        <v>0</v>
      </c>
      <c r="E9">
        <f>C9^2-4*B9*D9</f>
        <v>25</v>
      </c>
      <c r="F9">
        <f>ROUND(-C9/(2*B9),2)</f>
        <v>0.63</v>
      </c>
      <c r="G9">
        <f>ROUND(-E9/(4*B9),2)</f>
        <v>-1.56</v>
      </c>
      <c r="H9" t="str">
        <f>IF(B9&gt;0,"LEN","XUONG")</f>
        <v>LEN</v>
      </c>
      <c r="I9">
        <f>B9+C9+D9</f>
        <v>-1</v>
      </c>
      <c r="Y9" t="str">
        <v>Do lech chuan XDinh</v>
      </c>
      <c r="Z9">
        <f>ROUND(STDEV(F2:F13),2)</f>
        <v>1.05</v>
      </c>
    </row>
    <row r="10">
      <c r="A10" t="str">
        <v>HS09</v>
      </c>
      <c r="B10">
        <v>-1</v>
      </c>
      <c r="C10">
        <v>1</v>
      </c>
      <c r="D10">
        <v>-6</v>
      </c>
      <c r="E10">
        <f>C10^2-4*B10*D10</f>
        <v>-23</v>
      </c>
      <c r="F10">
        <f>ROUND(-C10/(2*B10),2)</f>
        <v>0.5</v>
      </c>
      <c r="G10">
        <f>ROUND(-E10/(4*B10),2)</f>
        <v>-5.75</v>
      </c>
      <c r="H10" t="str">
        <f>IF(B10&gt;0,"LEN","XUONG")</f>
        <v>XUONG</v>
      </c>
      <c r="I10">
        <f>B10+C10+D10</f>
        <v>-6</v>
      </c>
      <c r="Y10" t="str">
        <v>Tong Delta theo tieu chi W1:W2</v>
      </c>
      <c r="Z10">
        <f>DSUM(A1:I13,"Delta",W1:W2)</f>
        <v>-174</v>
      </c>
    </row>
    <row r="11">
      <c r="A11" t="str">
        <v>HS10</v>
      </c>
      <c r="B11">
        <v>-2</v>
      </c>
      <c r="C11">
        <v>-1</v>
      </c>
      <c r="D11">
        <v>6</v>
      </c>
      <c r="E11">
        <f>C11^2-4*B11*D11</f>
        <v>49</v>
      </c>
      <c r="F11">
        <f>ROUND(-C11/(2*B11),2)</f>
        <v>-0.25</v>
      </c>
      <c r="G11">
        <f>ROUND(-E11/(4*B11),2)</f>
        <v>6.13</v>
      </c>
      <c r="H11" t="str">
        <f>IF(B11&gt;0,"LEN","XUONG")</f>
        <v>XUONG</v>
      </c>
      <c r="I11">
        <f>B11+C11+D11</f>
        <v>3</v>
      </c>
      <c r="Y11" t="str">
        <v>So dong theo tieu chi W1:W2</v>
      </c>
      <c r="Z11">
        <f>DCOUNT(A1:I13,"Delta",W1:W2)</f>
        <v>7</v>
      </c>
    </row>
    <row r="12">
      <c r="A12" t="str">
        <v>HS11</v>
      </c>
      <c r="B12">
        <v>4</v>
      </c>
      <c r="C12">
        <v>3</v>
      </c>
      <c r="D12">
        <v>6</v>
      </c>
      <c r="E12">
        <f>C12^2-4*B12*D12</f>
        <v>-87</v>
      </c>
      <c r="F12">
        <f>ROUND(-C12/(2*B12),2)</f>
        <v>-0.38</v>
      </c>
      <c r="G12">
        <f>ROUND(-E12/(4*B12),2)</f>
        <v>5.44</v>
      </c>
      <c r="H12" t="str">
        <f>IF(B12&gt;0,"LEN","XUONG")</f>
        <v>LEN</v>
      </c>
      <c r="I12">
        <f>B12+C12+D12</f>
        <v>13</v>
      </c>
      <c r="Y12" t="str">
        <v>Tong Delta khi BeLom = LEN (SUMPRODUCT)</v>
      </c>
      <c r="Z12">
        <f>SUMPRODUCT((H2:H13="LEN")*E2:E13)</f>
        <v>-174</v>
      </c>
    </row>
    <row r="13">
      <c r="A13" t="str">
        <v>HS12</v>
      </c>
      <c r="B13">
        <v>4</v>
      </c>
      <c r="C13">
        <v>7</v>
      </c>
      <c r="D13">
        <v>5</v>
      </c>
      <c r="E13">
        <f>C13^2-4*B13*D13</f>
        <v>-31</v>
      </c>
      <c r="F13">
        <f>ROUND(-C13/(2*B13),2)</f>
        <v>-0.88</v>
      </c>
      <c r="G13">
        <f>ROUND(-E13/(4*B13),2)</f>
        <v>1.94</v>
      </c>
      <c r="H13" t="str">
        <f>IF(B13&gt;0,"LEN","XUONG")</f>
        <v>LEN</v>
      </c>
      <c r="I13">
        <f>B13+C13+D13</f>
        <v>16</v>
      </c>
      <c r="Y13" t="str">
        <v>Tong a x c</v>
      </c>
      <c r="Z13">
        <f>SUMPRODUCT(B2:B13,D2:D13)</f>
        <v>59</v>
      </c>
    </row>
  </sheetData>
  <ignoredErrors>
    <ignoredError numberStoredAsText="1" sqref="A1:Z13"/>
  </ignoredErrors>
</worksheet>
</file>

<file path=xl/worksheets/sheet35.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v>
      </c>
      <c r="C2">
        <f>'toan10hs'!E2</f>
      </c>
      <c r="D2">
        <f>IF(ISERROR(C2),LEFT(B2&amp;"",1)="#",IF(ISNUMBER(C2),AND(ISNUMBER(B2),ABS(C2-B2)&lt;=0.000001*MAX(1,ABS(B2))),EXACT(C2&amp;"",B2&amp;"")))</f>
      </c>
      <c r="E2">
        <f>ISERROR(C2)</f>
      </c>
    </row>
    <row r="3">
      <c r="A3" t="str">
        <v>E3</v>
      </c>
      <c r="B3">
        <v>97</v>
      </c>
      <c r="C3">
        <f>'toan10hs'!E3</f>
      </c>
      <c r="D3">
        <f>IF(ISERROR(C3),LEFT(B3&amp;"",1)="#",IF(ISNUMBER(C3),AND(ISNUMBER(B3),ABS(C3-B3)&lt;=0.000001*MAX(1,ABS(B3))),EXACT(C3&amp;"",B3&amp;"")))</f>
      </c>
      <c r="E3">
        <f>ISERROR(C3)</f>
      </c>
    </row>
    <row r="4">
      <c r="A4" t="str">
        <v>E4</v>
      </c>
      <c r="B4">
        <v>0</v>
      </c>
      <c r="C4">
        <f>'toan10hs'!E4</f>
      </c>
      <c r="D4">
        <f>IF(ISERROR(C4),LEFT(B4&amp;"",1)="#",IF(ISNUMBER(C4),AND(ISNUMBER(B4),ABS(C4-B4)&lt;=0.000001*MAX(1,ABS(B4))),EXACT(C4&amp;"",B4&amp;"")))</f>
      </c>
      <c r="E4">
        <f>ISERROR(C4)</f>
      </c>
    </row>
    <row r="5">
      <c r="A5" t="str">
        <v>E5</v>
      </c>
      <c r="B5">
        <v>40</v>
      </c>
      <c r="C5">
        <f>'toan10hs'!E5</f>
      </c>
      <c r="D5">
        <f>IF(ISERROR(C5),LEFT(B5&amp;"",1)="#",IF(ISNUMBER(C5),AND(ISNUMBER(B5),ABS(C5-B5)&lt;=0.000001*MAX(1,ABS(B5))),EXACT(C5&amp;"",B5&amp;"")))</f>
      </c>
      <c r="E5">
        <f>ISERROR(C5)</f>
      </c>
    </row>
    <row r="6">
      <c r="A6" t="str">
        <v>E6</v>
      </c>
      <c r="B6">
        <v>52</v>
      </c>
      <c r="C6">
        <f>'toan10hs'!E6</f>
      </c>
      <c r="D6">
        <f>IF(ISERROR(C6),LEFT(B6&amp;"",1)="#",IF(ISNUMBER(C6),AND(ISNUMBER(B6),ABS(C6-B6)&lt;=0.000001*MAX(1,ABS(B6))),EXACT(C6&amp;"",B6&amp;"")))</f>
      </c>
      <c r="E6">
        <f>ISERROR(C6)</f>
      </c>
    </row>
    <row r="7">
      <c r="A7" t="str">
        <v>E7</v>
      </c>
      <c r="B7">
        <v>-35</v>
      </c>
      <c r="C7">
        <f>'toan10hs'!E7</f>
      </c>
      <c r="D7">
        <f>IF(ISERROR(C7),LEFT(B7&amp;"",1)="#",IF(ISNUMBER(C7),AND(ISNUMBER(B7),ABS(C7-B7)&lt;=0.000001*MAX(1,ABS(B7))),EXACT(C7&amp;"",B7&amp;"")))</f>
      </c>
      <c r="E7">
        <f>ISERROR(C7)</f>
      </c>
    </row>
    <row r="8">
      <c r="A8" t="str">
        <v>E8</v>
      </c>
      <c r="B8">
        <v>-87</v>
      </c>
      <c r="C8">
        <f>'toan10hs'!E8</f>
      </c>
      <c r="D8">
        <f>IF(ISERROR(C8),LEFT(B8&amp;"",1)="#",IF(ISNUMBER(C8),AND(ISNUMBER(B8),ABS(C8-B8)&lt;=0.000001*MAX(1,ABS(B8))),EXACT(C8&amp;"",B8&amp;"")))</f>
      </c>
      <c r="E8">
        <f>ISERROR(C8)</f>
      </c>
    </row>
    <row r="9">
      <c r="A9" t="str">
        <v>E9</v>
      </c>
      <c r="B9">
        <v>25</v>
      </c>
      <c r="C9">
        <f>'toan10hs'!E9</f>
      </c>
      <c r="D9">
        <f>IF(ISERROR(C9),LEFT(B9&amp;"",1)="#",IF(ISNUMBER(C9),AND(ISNUMBER(B9),ABS(C9-B9)&lt;=0.000001*MAX(1,ABS(B9))),EXACT(C9&amp;"",B9&amp;"")))</f>
      </c>
      <c r="E9">
        <f>ISERROR(C9)</f>
      </c>
    </row>
    <row r="10">
      <c r="A10" t="str">
        <v>E10</v>
      </c>
      <c r="B10">
        <v>-23</v>
      </c>
      <c r="C10">
        <f>'toan10hs'!E10</f>
      </c>
      <c r="D10">
        <f>IF(ISERROR(C10),LEFT(B10&amp;"",1)="#",IF(ISNUMBER(C10),AND(ISNUMBER(B10),ABS(C10-B10)&lt;=0.000001*MAX(1,ABS(B10))),EXACT(C10&amp;"",B10&amp;"")))</f>
      </c>
      <c r="E10">
        <f>ISERROR(C10)</f>
      </c>
    </row>
    <row r="11">
      <c r="A11" t="str">
        <v>E11</v>
      </c>
      <c r="B11">
        <v>49</v>
      </c>
      <c r="C11">
        <f>'toan10hs'!E11</f>
      </c>
      <c r="D11">
        <f>IF(ISERROR(C11),LEFT(B11&amp;"",1)="#",IF(ISNUMBER(C11),AND(ISNUMBER(B11),ABS(C11-B11)&lt;=0.000001*MAX(1,ABS(B11))),EXACT(C11&amp;"",B11&amp;"")))</f>
      </c>
      <c r="E11">
        <f>ISERROR(C11)</f>
      </c>
    </row>
    <row r="12">
      <c r="A12" t="str">
        <v>E12</v>
      </c>
      <c r="B12">
        <v>-87</v>
      </c>
      <c r="C12">
        <f>'toan10hs'!E12</f>
      </c>
      <c r="D12">
        <f>IF(ISERROR(C12),LEFT(B12&amp;"",1)="#",IF(ISNUMBER(C12),AND(ISNUMBER(B12),ABS(C12-B12)&lt;=0.000001*MAX(1,ABS(B12))),EXACT(C12&amp;"",B12&amp;"")))</f>
      </c>
      <c r="E12">
        <f>ISERROR(C12)</f>
      </c>
    </row>
    <row r="13">
      <c r="A13" t="str">
        <v>E13</v>
      </c>
      <c r="B13">
        <v>-31</v>
      </c>
      <c r="C13">
        <f>'toan10hs'!E13</f>
      </c>
      <c r="D13">
        <f>IF(ISERROR(C13),LEFT(B13&amp;"",1)="#",IF(ISNUMBER(C13),AND(ISNUMBER(B13),ABS(C13-B13)&lt;=0.000001*MAX(1,ABS(B13))),EXACT(C13&amp;"",B13&amp;"")))</f>
      </c>
      <c r="E13">
        <f>ISERROR(C13)</f>
      </c>
    </row>
    <row r="14">
      <c r="A14" t="str">
        <v>F2</v>
      </c>
      <c r="B14">
        <v>0.25</v>
      </c>
      <c r="C14">
        <f>'toan10hs'!F2</f>
      </c>
      <c r="D14">
        <f>IF(ISERROR(C14),LEFT(B14&amp;"",1)="#",IF(ISNUMBER(C14),AND(ISNUMBER(B14),ABS(C14-B14)&lt;=0.000001*MAX(1,ABS(B14))),EXACT(C14&amp;"",B14&amp;"")))</f>
      </c>
      <c r="E14">
        <f>ISERROR(C14)</f>
      </c>
    </row>
    <row r="15">
      <c r="A15" t="str">
        <v>F3</v>
      </c>
      <c r="B15">
        <v>-0.83</v>
      </c>
      <c r="C15">
        <f>'toan10hs'!F3</f>
      </c>
      <c r="D15">
        <f>IF(ISERROR(C15),LEFT(B15&amp;"",1)="#",IF(ISNUMBER(C15),AND(ISNUMBER(B15),ABS(C15-B15)&lt;=0.000001*MAX(1,ABS(B15))),EXACT(C15&amp;"",B15&amp;"")))</f>
      </c>
      <c r="E15">
        <f>ISERROR(C15)</f>
      </c>
    </row>
    <row r="16">
      <c r="A16" t="str">
        <v>F4</v>
      </c>
      <c r="B16">
        <v>1</v>
      </c>
      <c r="C16">
        <f>'toan10hs'!F4</f>
      </c>
      <c r="D16">
        <f>IF(ISERROR(C16),LEFT(B16&amp;"",1)="#",IF(ISNUMBER(C16),AND(ISNUMBER(B16),ABS(C16-B16)&lt;=0.000001*MAX(1,ABS(B16))),EXACT(C16&amp;"",B16&amp;"")))</f>
      </c>
      <c r="E16">
        <f>ISERROR(C16)</f>
      </c>
    </row>
    <row r="17">
      <c r="A17" t="str">
        <v>F5</v>
      </c>
      <c r="B17">
        <v>-0.33</v>
      </c>
      <c r="C17">
        <f>'toan10hs'!F5</f>
      </c>
      <c r="D17">
        <f>IF(ISERROR(C17),LEFT(B17&amp;"",1)="#",IF(ISNUMBER(C17),AND(ISNUMBER(B17),ABS(C17-B17)&lt;=0.000001*MAX(1,ABS(B17))),EXACT(C17&amp;"",B17&amp;"")))</f>
      </c>
      <c r="E17">
        <f>ISERROR(C17)</f>
      </c>
    </row>
    <row r="18">
      <c r="A18" t="str">
        <v>F6</v>
      </c>
      <c r="B18">
        <v>3</v>
      </c>
      <c r="C18">
        <f>'toan10hs'!F6</f>
      </c>
      <c r="D18">
        <f>IF(ISERROR(C18),LEFT(B18&amp;"",1)="#",IF(ISNUMBER(C18),AND(ISNUMBER(B18),ABS(C18-B18)&lt;=0.000001*MAX(1,ABS(B18))),EXACT(C18&amp;"",B18&amp;"")))</f>
      </c>
      <c r="E18">
        <f>ISERROR(C18)</f>
      </c>
    </row>
    <row r="19">
      <c r="A19" t="str">
        <v>F7</v>
      </c>
      <c r="B19">
        <v>0.83</v>
      </c>
      <c r="C19">
        <f>'toan10hs'!F7</f>
      </c>
      <c r="D19">
        <f>IF(ISERROR(C19),LEFT(B19&amp;"",1)="#",IF(ISNUMBER(C19),AND(ISNUMBER(B19),ABS(C19-B19)&lt;=0.000001*MAX(1,ABS(B19))),EXACT(C19&amp;"",B19&amp;"")))</f>
      </c>
      <c r="E19">
        <f>ISERROR(C19)</f>
      </c>
    </row>
    <row r="20">
      <c r="A20" t="str">
        <v>F8</v>
      </c>
      <c r="B20">
        <v>0.63</v>
      </c>
      <c r="C20">
        <f>'toan10hs'!F8</f>
      </c>
      <c r="D20">
        <f>IF(ISERROR(C20),LEFT(B20&amp;"",1)="#",IF(ISNUMBER(C20),AND(ISNUMBER(B20),ABS(C20-B20)&lt;=0.000001*MAX(1,ABS(B20))),EXACT(C20&amp;"",B20&amp;"")))</f>
      </c>
      <c r="E20">
        <f>ISERROR(C20)</f>
      </c>
    </row>
    <row r="21">
      <c r="A21" t="str">
        <v>F9</v>
      </c>
      <c r="B21">
        <v>0.63</v>
      </c>
      <c r="C21">
        <f>'toan10hs'!F9</f>
      </c>
      <c r="D21">
        <f>IF(ISERROR(C21),LEFT(B21&amp;"",1)="#",IF(ISNUMBER(C21),AND(ISNUMBER(B21),ABS(C21-B21)&lt;=0.000001*MAX(1,ABS(B21))),EXACT(C21&amp;"",B21&amp;"")))</f>
      </c>
      <c r="E21">
        <f>ISERROR(C21)</f>
      </c>
    </row>
    <row r="22">
      <c r="A22" t="str">
        <v>F10</v>
      </c>
      <c r="B22">
        <v>0.5</v>
      </c>
      <c r="C22">
        <f>'toan10hs'!F10</f>
      </c>
      <c r="D22">
        <f>IF(ISERROR(C22),LEFT(B22&amp;"",1)="#",IF(ISNUMBER(C22),AND(ISNUMBER(B22),ABS(C22-B22)&lt;=0.000001*MAX(1,ABS(B22))),EXACT(C22&amp;"",B22&amp;"")))</f>
      </c>
      <c r="E22">
        <f>ISERROR(C22)</f>
      </c>
    </row>
    <row r="23">
      <c r="A23" t="str">
        <v>F11</v>
      </c>
      <c r="B23">
        <v>-0.25</v>
      </c>
      <c r="C23">
        <f>'toan10hs'!F11</f>
      </c>
      <c r="D23">
        <f>IF(ISERROR(C23),LEFT(B23&amp;"",1)="#",IF(ISNUMBER(C23),AND(ISNUMBER(B23),ABS(C23-B23)&lt;=0.000001*MAX(1,ABS(B23))),EXACT(C23&amp;"",B23&amp;"")))</f>
      </c>
      <c r="E23">
        <f>ISERROR(C23)</f>
      </c>
    </row>
    <row r="24">
      <c r="A24" t="str">
        <v>F12</v>
      </c>
      <c r="B24">
        <v>-0.38</v>
      </c>
      <c r="C24">
        <f>'toan10hs'!F12</f>
      </c>
      <c r="D24">
        <f>IF(ISERROR(C24),LEFT(B24&amp;"",1)="#",IF(ISNUMBER(C24),AND(ISNUMBER(B24),ABS(C24-B24)&lt;=0.000001*MAX(1,ABS(B24))),EXACT(C24&amp;"",B24&amp;"")))</f>
      </c>
      <c r="E24">
        <f>ISERROR(C24)</f>
      </c>
    </row>
    <row r="25">
      <c r="A25" t="str">
        <v>F13</v>
      </c>
      <c r="B25">
        <v>-0.88</v>
      </c>
      <c r="C25">
        <f>'toan10hs'!F13</f>
      </c>
      <c r="D25">
        <f>IF(ISERROR(C25),LEFT(B25&amp;"",1)="#",IF(ISNUMBER(C25),AND(ISNUMBER(B25),ABS(C25-B25)&lt;=0.000001*MAX(1,ABS(B25))),EXACT(C25&amp;"",B25&amp;"")))</f>
      </c>
      <c r="E25">
        <f>ISERROR(C25)</f>
      </c>
    </row>
    <row r="26">
      <c r="A26" t="str">
        <v>G2</v>
      </c>
      <c r="B26">
        <v>-0.13</v>
      </c>
      <c r="C26">
        <f>'toan10hs'!G2</f>
      </c>
      <c r="D26">
        <f>IF(ISERROR(C26),LEFT(B26&amp;"",1)="#",IF(ISNUMBER(C26),AND(ISNUMBER(B26),ABS(C26-B26)&lt;=0.000001*MAX(1,ABS(B26))),EXACT(C26&amp;"",B26&amp;"")))</f>
      </c>
      <c r="E26">
        <f>ISERROR(C26)</f>
      </c>
    </row>
    <row r="27">
      <c r="A27" t="str">
        <v>G3</v>
      </c>
      <c r="B27">
        <v>8.08</v>
      </c>
      <c r="C27">
        <f>'toan10hs'!G3</f>
      </c>
      <c r="D27">
        <f>IF(ISERROR(C27),LEFT(B27&amp;"",1)="#",IF(ISNUMBER(C27),AND(ISNUMBER(B27),ABS(C27-B27)&lt;=0.000001*MAX(1,ABS(B27))),EXACT(C27&amp;"",B27&amp;"")))</f>
      </c>
      <c r="E27">
        <f>ISERROR(C27)</f>
      </c>
    </row>
    <row r="28">
      <c r="A28" t="str">
        <v>G4</v>
      </c>
      <c r="B28">
        <v>0</v>
      </c>
      <c r="C28">
        <f>'toan10hs'!G4</f>
      </c>
      <c r="D28">
        <f>IF(ISERROR(C28),LEFT(B28&amp;"",1)="#",IF(ISNUMBER(C28),AND(ISNUMBER(B28),ABS(C28-B28)&lt;=0.000001*MAX(1,ABS(B28))),EXACT(C28&amp;"",B28&amp;"")))</f>
      </c>
      <c r="E28">
        <f>ISERROR(C28)</f>
      </c>
    </row>
    <row r="29">
      <c r="A29" t="str">
        <v>G5</v>
      </c>
      <c r="B29">
        <v>-3.33</v>
      </c>
      <c r="C29">
        <f>'toan10hs'!G5</f>
      </c>
      <c r="D29">
        <f>IF(ISERROR(C29),LEFT(B29&amp;"",1)="#",IF(ISNUMBER(C29),AND(ISNUMBER(B29),ABS(C29-B29)&lt;=0.000001*MAX(1,ABS(B29))),EXACT(C29&amp;"",B29&amp;"")))</f>
      </c>
      <c r="E29">
        <f>ISERROR(C29)</f>
      </c>
    </row>
    <row r="30">
      <c r="A30" t="str">
        <v>G6</v>
      </c>
      <c r="B30">
        <v>13</v>
      </c>
      <c r="C30">
        <f>'toan10hs'!G6</f>
      </c>
      <c r="D30">
        <f>IF(ISERROR(C30),LEFT(B30&amp;"",1)="#",IF(ISNUMBER(C30),AND(ISNUMBER(B30),ABS(C30-B30)&lt;=0.000001*MAX(1,ABS(B30))),EXACT(C30&amp;"",B30&amp;"")))</f>
      </c>
      <c r="E30">
        <f>ISERROR(C30)</f>
      </c>
    </row>
    <row r="31">
      <c r="A31" t="str">
        <v>G7</v>
      </c>
      <c r="B31">
        <v>2.92</v>
      </c>
      <c r="C31">
        <f>'toan10hs'!G7</f>
      </c>
      <c r="D31">
        <f>IF(ISERROR(C31),LEFT(B31&amp;"",1)="#",IF(ISNUMBER(C31),AND(ISNUMBER(B31),ABS(C31-B31)&lt;=0.000001*MAX(1,ABS(B31))),EXACT(C31&amp;"",B31&amp;"")))</f>
      </c>
      <c r="E31">
        <f>ISERROR(C31)</f>
      </c>
    </row>
    <row r="32">
      <c r="A32" t="str">
        <v>G8</v>
      </c>
      <c r="B32">
        <v>5.44</v>
      </c>
      <c r="C32">
        <f>'toan10hs'!G8</f>
      </c>
      <c r="D32">
        <f>IF(ISERROR(C32),LEFT(B32&amp;"",1)="#",IF(ISNUMBER(C32),AND(ISNUMBER(B32),ABS(C32-B32)&lt;=0.000001*MAX(1,ABS(B32))),EXACT(C32&amp;"",B32&amp;"")))</f>
      </c>
      <c r="E32">
        <f>ISERROR(C32)</f>
      </c>
    </row>
    <row r="33">
      <c r="A33" t="str">
        <v>G9</v>
      </c>
      <c r="B33">
        <v>-1.56</v>
      </c>
      <c r="C33">
        <f>'toan10hs'!G9</f>
      </c>
      <c r="D33">
        <f>IF(ISERROR(C33),LEFT(B33&amp;"",1)="#",IF(ISNUMBER(C33),AND(ISNUMBER(B33),ABS(C33-B33)&lt;=0.000001*MAX(1,ABS(B33))),EXACT(C33&amp;"",B33&amp;"")))</f>
      </c>
      <c r="E33">
        <f>ISERROR(C33)</f>
      </c>
    </row>
    <row r="34">
      <c r="A34" t="str">
        <v>G10</v>
      </c>
      <c r="B34">
        <v>-5.75</v>
      </c>
      <c r="C34">
        <f>'toan10hs'!G10</f>
      </c>
      <c r="D34">
        <f>IF(ISERROR(C34),LEFT(B34&amp;"",1)="#",IF(ISNUMBER(C34),AND(ISNUMBER(B34),ABS(C34-B34)&lt;=0.000001*MAX(1,ABS(B34))),EXACT(C34&amp;"",B34&amp;"")))</f>
      </c>
      <c r="E34">
        <f>ISERROR(C34)</f>
      </c>
    </row>
    <row r="35">
      <c r="A35" t="str">
        <v>G11</v>
      </c>
      <c r="B35">
        <v>6.13</v>
      </c>
      <c r="C35">
        <f>'toan10hs'!G11</f>
      </c>
      <c r="D35">
        <f>IF(ISERROR(C35),LEFT(B35&amp;"",1)="#",IF(ISNUMBER(C35),AND(ISNUMBER(B35),ABS(C35-B35)&lt;=0.000001*MAX(1,ABS(B35))),EXACT(C35&amp;"",B35&amp;"")))</f>
      </c>
      <c r="E35">
        <f>ISERROR(C35)</f>
      </c>
    </row>
    <row r="36">
      <c r="A36" t="str">
        <v>G12</v>
      </c>
      <c r="B36">
        <v>5.44</v>
      </c>
      <c r="C36">
        <f>'toan10hs'!G12</f>
      </c>
      <c r="D36">
        <f>IF(ISERROR(C36),LEFT(B36&amp;"",1)="#",IF(ISNUMBER(C36),AND(ISNUMBER(B36),ABS(C36-B36)&lt;=0.000001*MAX(1,ABS(B36))),EXACT(C36&amp;"",B36&amp;"")))</f>
      </c>
      <c r="E36">
        <f>ISERROR(C36)</f>
      </c>
    </row>
    <row r="37">
      <c r="A37" t="str">
        <v>G13</v>
      </c>
      <c r="B37">
        <v>1.94</v>
      </c>
      <c r="C37">
        <f>'toan10hs'!G13</f>
      </c>
      <c r="D37">
        <f>IF(ISERROR(C37),LEFT(B37&amp;"",1)="#",IF(ISNUMBER(C37),AND(ISNUMBER(B37),ABS(C37-B37)&lt;=0.000001*MAX(1,ABS(B37))),EXACT(C37&amp;"",B37&amp;"")))</f>
      </c>
      <c r="E37">
        <f>ISERROR(C37)</f>
      </c>
    </row>
    <row r="38">
      <c r="A38" t="str">
        <v>H2</v>
      </c>
      <c r="B38" t="str">
        <v>LEN</v>
      </c>
      <c r="C38">
        <f>'toan10hs'!H2</f>
      </c>
      <c r="D38">
        <f>IF(ISERROR(C38),LEFT(B38&amp;"",1)="#",IF(ISNUMBER(C38),AND(ISNUMBER(B38),ABS(C38-B38)&lt;=0.000001*MAX(1,ABS(B38))),EXACT(C38&amp;"",B38&amp;"")))</f>
      </c>
      <c r="E38">
        <f>ISERROR(C38)</f>
      </c>
    </row>
    <row r="39">
      <c r="A39" t="str">
        <v>H3</v>
      </c>
      <c r="B39" t="str">
        <v>XUONG</v>
      </c>
      <c r="C39">
        <f>'toan10hs'!H3</f>
      </c>
      <c r="D39">
        <f>IF(ISERROR(C39),LEFT(B39&amp;"",1)="#",IF(ISNUMBER(C39),AND(ISNUMBER(B39),ABS(C39-B39)&lt;=0.000001*MAX(1,ABS(B39))),EXACT(C39&amp;"",B39&amp;"")))</f>
      </c>
      <c r="E39">
        <f>ISERROR(C39)</f>
      </c>
    </row>
    <row r="40">
      <c r="A40" t="str">
        <v>H4</v>
      </c>
      <c r="B40" t="str">
        <v>XUONG</v>
      </c>
      <c r="C40">
        <f>'toan10hs'!H4</f>
      </c>
      <c r="D40">
        <f>IF(ISERROR(C40),LEFT(B40&amp;"",1)="#",IF(ISNUMBER(C40),AND(ISNUMBER(B40),ABS(C40-B40)&lt;=0.000001*MAX(1,ABS(B40))),EXACT(C40&amp;"",B40&amp;"")))</f>
      </c>
      <c r="E40">
        <f>ISERROR(C40)</f>
      </c>
    </row>
    <row r="41">
      <c r="A41" t="str">
        <v>H5</v>
      </c>
      <c r="B41" t="str">
        <v>LEN</v>
      </c>
      <c r="C41">
        <f>'toan10hs'!H5</f>
      </c>
      <c r="D41">
        <f>IF(ISERROR(C41),LEFT(B41&amp;"",1)="#",IF(ISNUMBER(C41),AND(ISNUMBER(B41),ABS(C41-B41)&lt;=0.000001*MAX(1,ABS(B41))),EXACT(C41&amp;"",B41&amp;"")))</f>
      </c>
      <c r="E41">
        <f>ISERROR(C41)</f>
      </c>
    </row>
    <row r="42">
      <c r="A42" t="str">
        <v>H6</v>
      </c>
      <c r="B42" t="str">
        <v>XUONG</v>
      </c>
      <c r="C42">
        <f>'toan10hs'!H6</f>
      </c>
      <c r="D42">
        <f>IF(ISERROR(C42),LEFT(B42&amp;"",1)="#",IF(ISNUMBER(C42),AND(ISNUMBER(B42),ABS(C42-B42)&lt;=0.000001*MAX(1,ABS(B42))),EXACT(C42&amp;"",B42&amp;"")))</f>
      </c>
      <c r="E42">
        <f>ISERROR(C42)</f>
      </c>
    </row>
    <row r="43">
      <c r="A43" t="str">
        <v>H7</v>
      </c>
      <c r="B43" t="str">
        <v>LEN</v>
      </c>
      <c r="C43">
        <f>'toan10hs'!H7</f>
      </c>
      <c r="D43">
        <f>IF(ISERROR(C43),LEFT(B43&amp;"",1)="#",IF(ISNUMBER(C43),AND(ISNUMBER(B43),ABS(C43-B43)&lt;=0.000001*MAX(1,ABS(B43))),EXACT(C43&amp;"",B43&amp;"")))</f>
      </c>
      <c r="E43">
        <f>ISERROR(C43)</f>
      </c>
    </row>
    <row r="44">
      <c r="A44" t="str">
        <v>H8</v>
      </c>
      <c r="B44" t="str">
        <v>LEN</v>
      </c>
      <c r="C44">
        <f>'toan10hs'!H8</f>
      </c>
      <c r="D44">
        <f>IF(ISERROR(C44),LEFT(B44&amp;"",1)="#",IF(ISNUMBER(C44),AND(ISNUMBER(B44),ABS(C44-B44)&lt;=0.000001*MAX(1,ABS(B44))),EXACT(C44&amp;"",B44&amp;"")))</f>
      </c>
      <c r="E44">
        <f>ISERROR(C44)</f>
      </c>
    </row>
    <row r="45">
      <c r="A45" t="str">
        <v>H9</v>
      </c>
      <c r="B45" t="str">
        <v>LEN</v>
      </c>
      <c r="C45">
        <f>'toan10hs'!H9</f>
      </c>
      <c r="D45">
        <f>IF(ISERROR(C45),LEFT(B45&amp;"",1)="#",IF(ISNUMBER(C45),AND(ISNUMBER(B45),ABS(C45-B45)&lt;=0.000001*MAX(1,ABS(B45))),EXACT(C45&amp;"",B45&amp;"")))</f>
      </c>
      <c r="E45">
        <f>ISERROR(C45)</f>
      </c>
    </row>
    <row r="46">
      <c r="A46" t="str">
        <v>H10</v>
      </c>
      <c r="B46" t="str">
        <v>XUONG</v>
      </c>
      <c r="C46">
        <f>'toan10hs'!H10</f>
      </c>
      <c r="D46">
        <f>IF(ISERROR(C46),LEFT(B46&amp;"",1)="#",IF(ISNUMBER(C46),AND(ISNUMBER(B46),ABS(C46-B46)&lt;=0.000001*MAX(1,ABS(B46))),EXACT(C46&amp;"",B46&amp;"")))</f>
      </c>
      <c r="E46">
        <f>ISERROR(C46)</f>
      </c>
    </row>
    <row r="47">
      <c r="A47" t="str">
        <v>H11</v>
      </c>
      <c r="B47" t="str">
        <v>XUONG</v>
      </c>
      <c r="C47">
        <f>'toan10hs'!H11</f>
      </c>
      <c r="D47">
        <f>IF(ISERROR(C47),LEFT(B47&amp;"",1)="#",IF(ISNUMBER(C47),AND(ISNUMBER(B47),ABS(C47-B47)&lt;=0.000001*MAX(1,ABS(B47))),EXACT(C47&amp;"",B47&amp;"")))</f>
      </c>
      <c r="E47">
        <f>ISERROR(C47)</f>
      </c>
    </row>
    <row r="48">
      <c r="A48" t="str">
        <v>H12</v>
      </c>
      <c r="B48" t="str">
        <v>LEN</v>
      </c>
      <c r="C48">
        <f>'toan10hs'!H12</f>
      </c>
      <c r="D48">
        <f>IF(ISERROR(C48),LEFT(B48&amp;"",1)="#",IF(ISNUMBER(C48),AND(ISNUMBER(B48),ABS(C48-B48)&lt;=0.000001*MAX(1,ABS(B48))),EXACT(C48&amp;"",B48&amp;"")))</f>
      </c>
      <c r="E48">
        <f>ISERROR(C48)</f>
      </c>
    </row>
    <row r="49">
      <c r="A49" t="str">
        <v>H13</v>
      </c>
      <c r="B49" t="str">
        <v>LEN</v>
      </c>
      <c r="C49">
        <f>'toan10hs'!H13</f>
      </c>
      <c r="D49">
        <f>IF(ISERROR(C49),LEFT(B49&amp;"",1)="#",IF(ISNUMBER(C49),AND(ISNUMBER(B49),ABS(C49-B49)&lt;=0.000001*MAX(1,ABS(B49))),EXACT(C49&amp;"",B49&amp;"")))</f>
      </c>
      <c r="E49">
        <f>ISERROR(C49)</f>
      </c>
    </row>
    <row r="50">
      <c r="A50" t="str">
        <v>I2</v>
      </c>
      <c r="B50">
        <v>1</v>
      </c>
      <c r="C50">
        <f>'toan10hs'!I2</f>
      </c>
      <c r="D50">
        <f>IF(ISERROR(C50),LEFT(B50&amp;"",1)="#",IF(ISNUMBER(C50),AND(ISNUMBER(B50),ABS(C50-B50)&lt;=0.000001*MAX(1,ABS(B50))),EXACT(C50&amp;"",B50&amp;"")))</f>
      </c>
      <c r="E50">
        <f>ISERROR(C50)</f>
      </c>
    </row>
    <row r="51">
      <c r="A51" t="str">
        <v>I3</v>
      </c>
      <c r="B51">
        <v>-2</v>
      </c>
      <c r="C51">
        <f>'toan10hs'!I3</f>
      </c>
      <c r="D51">
        <f>IF(ISERROR(C51),LEFT(B51&amp;"",1)="#",IF(ISNUMBER(C51),AND(ISNUMBER(B51),ABS(C51-B51)&lt;=0.000001*MAX(1,ABS(B51))),EXACT(C51&amp;"",B51&amp;"")))</f>
      </c>
      <c r="E51">
        <f>ISERROR(C51)</f>
      </c>
    </row>
    <row r="52">
      <c r="A52" t="str">
        <v>I4</v>
      </c>
      <c r="B52">
        <v>0</v>
      </c>
      <c r="C52">
        <f>'toan10hs'!I4</f>
      </c>
      <c r="D52">
        <f>IF(ISERROR(C52),LEFT(B52&amp;"",1)="#",IF(ISNUMBER(C52),AND(ISNUMBER(B52),ABS(C52-B52)&lt;=0.000001*MAX(1,ABS(B52))),EXACT(C52&amp;"",B52&amp;"")))</f>
      </c>
      <c r="E52">
        <f>ISERROR(C52)</f>
      </c>
    </row>
    <row r="53">
      <c r="A53" t="str">
        <v>I5</v>
      </c>
      <c r="B53">
        <v>2</v>
      </c>
      <c r="C53">
        <f>'toan10hs'!I5</f>
      </c>
      <c r="D53">
        <f>IF(ISERROR(C53),LEFT(B53&amp;"",1)="#",IF(ISNUMBER(C53),AND(ISNUMBER(B53),ABS(C53-B53)&lt;=0.000001*MAX(1,ABS(B53))),EXACT(C53&amp;"",B53&amp;"")))</f>
      </c>
      <c r="E53">
        <f>ISERROR(C53)</f>
      </c>
    </row>
    <row r="54">
      <c r="A54" t="str">
        <v>I6</v>
      </c>
      <c r="B54">
        <v>9</v>
      </c>
      <c r="C54">
        <f>'toan10hs'!I6</f>
      </c>
      <c r="D54">
        <f>IF(ISERROR(C54),LEFT(B54&amp;"",1)="#",IF(ISNUMBER(C54),AND(ISNUMBER(B54),ABS(C54-B54)&lt;=0.000001*MAX(1,ABS(B54))),EXACT(C54&amp;"",B54&amp;"")))</f>
      </c>
      <c r="E54">
        <f>ISERROR(C54)</f>
      </c>
    </row>
    <row r="55">
      <c r="A55" t="str">
        <v>I7</v>
      </c>
      <c r="B55">
        <v>3</v>
      </c>
      <c r="C55">
        <f>'toan10hs'!I7</f>
      </c>
      <c r="D55">
        <f>IF(ISERROR(C55),LEFT(B55&amp;"",1)="#",IF(ISNUMBER(C55),AND(ISNUMBER(B55),ABS(C55-B55)&lt;=0.000001*MAX(1,ABS(B55))),EXACT(C55&amp;"",B55&amp;"")))</f>
      </c>
      <c r="E55">
        <f>ISERROR(C55)</f>
      </c>
    </row>
    <row r="56">
      <c r="A56" t="str">
        <v>I8</v>
      </c>
      <c r="B56">
        <v>6</v>
      </c>
      <c r="C56">
        <f>'toan10hs'!I8</f>
      </c>
      <c r="D56">
        <f>IF(ISERROR(C56),LEFT(B56&amp;"",1)="#",IF(ISNUMBER(C56),AND(ISNUMBER(B56),ABS(C56-B56)&lt;=0.000001*MAX(1,ABS(B56))),EXACT(C56&amp;"",B56&amp;"")))</f>
      </c>
      <c r="E56">
        <f>ISERROR(C56)</f>
      </c>
    </row>
    <row r="57">
      <c r="A57" t="str">
        <v>I9</v>
      </c>
      <c r="B57">
        <v>-1</v>
      </c>
      <c r="C57">
        <f>'toan10hs'!I9</f>
      </c>
      <c r="D57">
        <f>IF(ISERROR(C57),LEFT(B57&amp;"",1)="#",IF(ISNUMBER(C57),AND(ISNUMBER(B57),ABS(C57-B57)&lt;=0.000001*MAX(1,ABS(B57))),EXACT(C57&amp;"",B57&amp;"")))</f>
      </c>
      <c r="E57">
        <f>ISERROR(C57)</f>
      </c>
    </row>
    <row r="58">
      <c r="A58" t="str">
        <v>I10</v>
      </c>
      <c r="B58">
        <v>-6</v>
      </c>
      <c r="C58">
        <f>'toan10hs'!I10</f>
      </c>
      <c r="D58">
        <f>IF(ISERROR(C58),LEFT(B58&amp;"",1)="#",IF(ISNUMBER(C58),AND(ISNUMBER(B58),ABS(C58-B58)&lt;=0.000001*MAX(1,ABS(B58))),EXACT(C58&amp;"",B58&amp;"")))</f>
      </c>
      <c r="E58">
        <f>ISERROR(C58)</f>
      </c>
    </row>
    <row r="59">
      <c r="A59" t="str">
        <v>I11</v>
      </c>
      <c r="B59">
        <v>3</v>
      </c>
      <c r="C59">
        <f>'toan10hs'!I11</f>
      </c>
      <c r="D59">
        <f>IF(ISERROR(C59),LEFT(B59&amp;"",1)="#",IF(ISNUMBER(C59),AND(ISNUMBER(B59),ABS(C59-B59)&lt;=0.000001*MAX(1,ABS(B59))),EXACT(C59&amp;"",B59&amp;"")))</f>
      </c>
      <c r="E59">
        <f>ISERROR(C59)</f>
      </c>
    </row>
    <row r="60">
      <c r="A60" t="str">
        <v>I12</v>
      </c>
      <c r="B60">
        <v>13</v>
      </c>
      <c r="C60">
        <f>'toan10hs'!I12</f>
      </c>
      <c r="D60">
        <f>IF(ISERROR(C60),LEFT(B60&amp;"",1)="#",IF(ISNUMBER(C60),AND(ISNUMBER(B60),ABS(C60-B60)&lt;=0.000001*MAX(1,ABS(B60))),EXACT(C60&amp;"",B60&amp;"")))</f>
      </c>
      <c r="E60">
        <f>ISERROR(C60)</f>
      </c>
    </row>
    <row r="61">
      <c r="A61" t="str">
        <v>I13</v>
      </c>
      <c r="B61">
        <v>16</v>
      </c>
      <c r="C61">
        <f>'toan10hs'!I13</f>
      </c>
      <c r="D61">
        <f>IF(ISERROR(C61),LEFT(B61&amp;"",1)="#",IF(ISNUMBER(C61),AND(ISNUMBER(B61),ABS(C61-B61)&lt;=0.000001*MAX(1,ABS(B61))),EXACT(C61&amp;"",B61&amp;"")))</f>
      </c>
      <c r="E61">
        <f>ISERROR(C61)</f>
      </c>
    </row>
    <row r="62">
      <c r="A62" t="str">
        <v>Z2</v>
      </c>
      <c r="B62" t="str">
        <v>HS05</v>
      </c>
      <c r="C62">
        <f>'toan10hs'!Z2</f>
      </c>
      <c r="D62">
        <f>IF(ISERROR(C62),LEFT(B62&amp;"",1)="#",IF(ISNUMBER(C62),AND(ISNUMBER(B62),ABS(C62-B62)&lt;=0.000001*MAX(1,ABS(B62))),EXACT(C62&amp;"",B62&amp;"")))</f>
      </c>
      <c r="E62">
        <f>ISERROR(C62)</f>
      </c>
    </row>
    <row r="63">
      <c r="A63" t="str">
        <v>Z3</v>
      </c>
      <c r="B63">
        <v>-174</v>
      </c>
      <c r="C63">
        <f>'toan10hs'!Z3</f>
      </c>
      <c r="D63">
        <f>IF(ISERROR(C63),LEFT(B63&amp;"",1)="#",IF(ISNUMBER(C63),AND(ISNUMBER(B63),ABS(C63-B63)&lt;=0.000001*MAX(1,ABS(B63))),EXACT(C63&amp;"",B63&amp;"")))</f>
      </c>
      <c r="E63">
        <f>ISERROR(C63)</f>
      </c>
    </row>
    <row r="64">
      <c r="A64" t="str">
        <v>Z4</v>
      </c>
      <c r="B64">
        <v>3</v>
      </c>
      <c r="C64">
        <f>'toan10hs'!Z4</f>
      </c>
      <c r="D64">
        <f>IF(ISERROR(C64),LEFT(B64&amp;"",1)="#",IF(ISNUMBER(C64),AND(ISNUMBER(B64),ABS(C64-B64)&lt;=0.000001*MAX(1,ABS(B64))),EXACT(C64&amp;"",B64&amp;"")))</f>
      </c>
      <c r="E64">
        <f>ISERROR(C64)</f>
      </c>
    </row>
    <row r="65">
      <c r="A65" t="str">
        <v>Z5</v>
      </c>
      <c r="B65">
        <v>0.10714285714285712</v>
      </c>
      <c r="C65">
        <f>'toan10hs'!Z5</f>
      </c>
      <c r="D65">
        <f>IF(ISERROR(C65),LEFT(B65&amp;"",1)="#",IF(ISNUMBER(C65),AND(ISNUMBER(B65),ABS(C65-B65)&lt;=0.000001*MAX(1,ABS(B65))),EXACT(C65&amp;"",B65&amp;"")))</f>
      </c>
      <c r="E65">
        <f>ISERROR(C65)</f>
      </c>
    </row>
    <row r="66">
      <c r="A66" t="str">
        <v>Z6</v>
      </c>
      <c r="B66">
        <v>13</v>
      </c>
      <c r="C66">
        <f>'toan10hs'!Z6</f>
      </c>
      <c r="D66">
        <f>IF(ISERROR(C66),LEFT(B66&amp;"",1)="#",IF(ISNUMBER(C66),AND(ISNUMBER(B66),ABS(C66-B66)&lt;=0.000001*MAX(1,ABS(B66))),EXACT(C66&amp;"",B66&amp;"")))</f>
      </c>
      <c r="E66">
        <f>ISERROR(C66)</f>
      </c>
    </row>
    <row r="67">
      <c r="A67" t="str">
        <v>Z7</v>
      </c>
      <c r="B67">
        <v>0.5</v>
      </c>
      <c r="C67">
        <f>'toan10hs'!Z7</f>
      </c>
      <c r="D67">
        <f>IF(ISERROR(C67),LEFT(B67&amp;"",1)="#",IF(ISNUMBER(C67),AND(ISNUMBER(B67),ABS(C67-B67)&lt;=0.000001*MAX(1,ABS(B67))),EXACT(C67&amp;"",B67&amp;"")))</f>
      </c>
      <c r="E67">
        <f>ISERROR(C67)</f>
      </c>
    </row>
    <row r="68">
      <c r="A68" t="str">
        <v>Z8</v>
      </c>
      <c r="B68">
        <v>52</v>
      </c>
      <c r="C68">
        <f>'toan10hs'!Z8</f>
      </c>
      <c r="D68">
        <f>IF(ISERROR(C68),LEFT(B68&amp;"",1)="#",IF(ISNUMBER(C68),AND(ISNUMBER(B68),ABS(C68-B68)&lt;=0.000001*MAX(1,ABS(B68))),EXACT(C68&amp;"",B68&amp;"")))</f>
      </c>
      <c r="E68">
        <f>ISERROR(C68)</f>
      </c>
    </row>
    <row r="69">
      <c r="A69" t="str">
        <v>Z9</v>
      </c>
      <c r="B69">
        <v>1.05</v>
      </c>
      <c r="C69">
        <f>'toan10hs'!Z9</f>
      </c>
      <c r="D69">
        <f>IF(ISERROR(C69),LEFT(B69&amp;"",1)="#",IF(ISNUMBER(C69),AND(ISNUMBER(B69),ABS(C69-B69)&lt;=0.000001*MAX(1,ABS(B69))),EXACT(C69&amp;"",B69&amp;"")))</f>
      </c>
      <c r="E69">
        <f>ISERROR(C69)</f>
      </c>
    </row>
    <row r="70">
      <c r="A70" t="str">
        <v>Z10</v>
      </c>
      <c r="B70">
        <v>-174</v>
      </c>
      <c r="C70">
        <f>'toan10hs'!Z10</f>
      </c>
      <c r="D70">
        <f>IF(ISERROR(C70),LEFT(B70&amp;"",1)="#",IF(ISNUMBER(C70),AND(ISNUMBER(B70),ABS(C70-B70)&lt;=0.000001*MAX(1,ABS(B70))),EXACT(C70&amp;"",B70&amp;"")))</f>
      </c>
      <c r="E70">
        <f>ISERROR(C70)</f>
      </c>
    </row>
    <row r="71">
      <c r="A71" t="str">
        <v>Z11</v>
      </c>
      <c r="B71">
        <v>7</v>
      </c>
      <c r="C71">
        <f>'toan10hs'!Z11</f>
      </c>
      <c r="D71">
        <f>IF(ISERROR(C71),LEFT(B71&amp;"",1)="#",IF(ISNUMBER(C71),AND(ISNUMBER(B71),ABS(C71-B71)&lt;=0.000001*MAX(1,ABS(B71))),EXACT(C71&amp;"",B71&amp;"")))</f>
      </c>
      <c r="E71">
        <f>ISERROR(C71)</f>
      </c>
    </row>
    <row r="72">
      <c r="A72" t="str">
        <v>Z12</v>
      </c>
      <c r="B72">
        <v>-174</v>
      </c>
      <c r="C72">
        <f>'toan10hs'!Z12</f>
      </c>
      <c r="D72">
        <f>IF(ISERROR(C72),LEFT(B72&amp;"",1)="#",IF(ISNUMBER(C72),AND(ISNUMBER(B72),ABS(C72-B72)&lt;=0.000001*MAX(1,ABS(B72))),EXACT(C72&amp;"",B72&amp;"")))</f>
      </c>
      <c r="E72">
        <f>ISERROR(C72)</f>
      </c>
    </row>
    <row r="73">
      <c r="A73" t="str">
        <v>Z13</v>
      </c>
      <c r="B73">
        <v>59</v>
      </c>
      <c r="C73">
        <f>'toan10hs'!Z13</f>
      </c>
      <c r="D73">
        <f>IF(ISERROR(C73),LEFT(B73&amp;"",1)="#",IF(ISNUMBER(C73),AND(ISNUMBER(B73),ABS(C73-B73)&lt;=0.000001*MAX(1,ABS(B73))),EXACT(C73&amp;"",B73&amp;"")))</f>
      </c>
      <c r="E73">
        <f>ISERROR(C73)</f>
      </c>
    </row>
  </sheetData>
  <ignoredErrors>
    <ignoredError numberStoredAsText="1" sqref="A1:E73"/>
  </ignoredErrors>
</worksheet>
</file>

<file path=xl/worksheets/sheet3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Nhom</v>
      </c>
      <c r="C1" t="str">
        <v>GiaTri</v>
      </c>
      <c r="D1" t="str">
        <v>DoLech</v>
      </c>
      <c r="E1" t="str">
        <v>BinhPhuong</v>
      </c>
      <c r="W1" t="str">
        <v>Nhom</v>
      </c>
      <c r="Y1" t="str">
        <v>TongHop</v>
      </c>
      <c r="Z1" t="str">
        <v>KetQua</v>
      </c>
    </row>
    <row r="2">
      <c r="A2" t="str">
        <v>M01</v>
      </c>
      <c r="B2" t="str">
        <v>A</v>
      </c>
      <c r="C2">
        <v>47</v>
      </c>
      <c r="D2">
        <f>ROUND(C2-AVERAGE($C$2:$C$13),2)</f>
        <v>1.67</v>
      </c>
      <c r="E2">
        <f>ROUND(D2^2,2)</f>
        <v>2.79</v>
      </c>
      <c r="W2" t="str">
        <v>A</v>
      </c>
      <c r="Y2" t="str">
        <v>Trung binh</v>
      </c>
      <c r="Z2">
        <f>ROUND(AVERAGE(C2:C13),2)</f>
        <v>45.33</v>
      </c>
    </row>
    <row r="3">
      <c r="A3" t="str">
        <v>M02</v>
      </c>
      <c r="B3" t="str">
        <v>B</v>
      </c>
      <c r="C3">
        <v>47</v>
      </c>
      <c r="D3">
        <f>ROUND(C3-AVERAGE($C$2:$C$13),2)</f>
        <v>1.67</v>
      </c>
      <c r="E3">
        <f>ROUND(D3^2,2)</f>
        <v>2.79</v>
      </c>
      <c r="Y3" t="str">
        <v>Trung vi</v>
      </c>
      <c r="Z3">
        <f>MEDIAN(C2:C13)</f>
        <v>47</v>
      </c>
    </row>
    <row r="4">
      <c r="A4" t="str">
        <v>M03</v>
      </c>
      <c r="B4" t="str">
        <v>C</v>
      </c>
      <c r="C4">
        <v>47</v>
      </c>
      <c r="D4">
        <f>ROUND(C4-AVERAGE($C$2:$C$13),2)</f>
        <v>1.67</v>
      </c>
      <c r="E4">
        <f>ROUND(D4^2,2)</f>
        <v>2.79</v>
      </c>
      <c r="Y4" t="str">
        <v>Mot</v>
      </c>
      <c r="Z4">
        <f>MODE(C2:C13)</f>
        <v>47</v>
      </c>
    </row>
    <row r="5">
      <c r="A5" t="str">
        <v>M04</v>
      </c>
      <c r="B5" t="str">
        <v>C</v>
      </c>
      <c r="C5">
        <v>64</v>
      </c>
      <c r="D5">
        <f>ROUND(C5-AVERAGE($C$2:$C$13),2)</f>
        <v>18.67</v>
      </c>
      <c r="E5">
        <f>ROUND(D5^2,2)</f>
        <v>348.57</v>
      </c>
      <c r="Y5" t="str">
        <v>Khoang bien thien</v>
      </c>
      <c r="Z5">
        <f>MAX(C2:C13)-MIN(C2:C13)</f>
        <v>53</v>
      </c>
    </row>
    <row r="6">
      <c r="A6" t="str">
        <v>M05</v>
      </c>
      <c r="B6" t="str">
        <v>A</v>
      </c>
      <c r="C6">
        <v>13</v>
      </c>
      <c r="D6">
        <f>ROUND(C6-AVERAGE($C$2:$C$13),2)</f>
        <v>-32.33</v>
      </c>
      <c r="E6">
        <f>ROUND(D6^2,2)</f>
        <v>1045.23</v>
      </c>
      <c r="Y6" t="str">
        <v>Phuong sai</v>
      </c>
      <c r="Z6">
        <f>ROUND(VARP(C2:C13),2)</f>
        <v>226.89</v>
      </c>
    </row>
    <row r="7">
      <c r="A7" t="str">
        <v>M06</v>
      </c>
      <c r="B7" t="str">
        <v>B</v>
      </c>
      <c r="C7">
        <v>40</v>
      </c>
      <c r="D7">
        <f>ROUND(C7-AVERAGE($C$2:$C$13),2)</f>
        <v>-5.33</v>
      </c>
      <c r="E7">
        <f>ROUND(D7^2,2)</f>
        <v>28.41</v>
      </c>
      <c r="Y7" t="str">
        <v>Do lech chuan</v>
      </c>
      <c r="Z7">
        <f>ROUND(STDEVP(C2:C13),2)</f>
        <v>15.06</v>
      </c>
    </row>
    <row r="8">
      <c r="A8" t="str">
        <v>M07</v>
      </c>
      <c r="B8" t="str">
        <v>C</v>
      </c>
      <c r="C8">
        <v>32</v>
      </c>
      <c r="D8">
        <f>ROUND(C8-AVERAGE($C$2:$C$13),2)</f>
        <v>-13.33</v>
      </c>
      <c r="E8">
        <f>ROUND(D8^2,2)</f>
        <v>177.69</v>
      </c>
      <c r="Y8" t="str">
        <v>Tong binh phuong lech</v>
      </c>
      <c r="Z8">
        <f>SUM(E2:E13)</f>
        <v>2722.6800000000003</v>
      </c>
    </row>
    <row r="9">
      <c r="A9" t="str">
        <v>M08</v>
      </c>
      <c r="B9" t="str">
        <v>C</v>
      </c>
      <c r="C9">
        <v>58</v>
      </c>
      <c r="D9">
        <f>ROUND(C9-AVERAGE($C$2:$C$13),2)</f>
        <v>12.67</v>
      </c>
      <c r="E9">
        <f>ROUND(D9^2,2)</f>
        <v>160.53</v>
      </c>
      <c r="Y9" t="str">
        <v>Tong GiaTri khi Nhom = A</v>
      </c>
      <c r="Z9">
        <f>SUMIF(B2:B13,"A",C2:C13)</f>
        <v>190</v>
      </c>
    </row>
    <row r="10">
      <c r="A10" t="str">
        <v>M09</v>
      </c>
      <c r="B10" t="str">
        <v>C</v>
      </c>
      <c r="C10">
        <v>66</v>
      </c>
      <c r="D10">
        <f>ROUND(C10-AVERAGE($C$2:$C$13),2)</f>
        <v>20.67</v>
      </c>
      <c r="E10">
        <f>ROUND(D10^2,2)</f>
        <v>427.25</v>
      </c>
      <c r="Y10" t="str">
        <v>GiaTri trung binh khi Nhom = B</v>
      </c>
      <c r="Z10">
        <f>AVERAGEIF(B2:B13,"B",C2:C13)</f>
        <v>43.5</v>
      </c>
    </row>
    <row r="11">
      <c r="A11" t="str">
        <v>M10</v>
      </c>
      <c r="B11" t="str">
        <v>A</v>
      </c>
      <c r="C11">
        <v>42</v>
      </c>
      <c r="D11">
        <f>ROUND(C11-AVERAGE($C$2:$C$13),2)</f>
        <v>-3.33</v>
      </c>
      <c r="E11">
        <f>ROUND(D11^2,2)</f>
        <v>11.09</v>
      </c>
      <c r="Y11" t="str">
        <v>GiaTri lon nhat khi Nhom = C</v>
      </c>
      <c r="Z11">
        <f>_xlfn.MAXIFS(C2:C13,B2:B13,"C")</f>
        <v>66</v>
      </c>
    </row>
    <row r="12">
      <c r="A12" t="str">
        <v>M11</v>
      </c>
      <c r="B12" t="str">
        <v>A</v>
      </c>
      <c r="C12">
        <v>60</v>
      </c>
      <c r="D12">
        <f>ROUND(C12-AVERAGE($C$2:$C$13),2)</f>
        <v>14.67</v>
      </c>
      <c r="E12">
        <f>ROUND(D12^2,2)</f>
        <v>215.21</v>
      </c>
      <c r="Y12" t="str">
        <v>Tong GiaTri theo tieu chi W1:W2</v>
      </c>
      <c r="Z12">
        <f>DSUM(A1:E13,"GiaTri",W1:W2)</f>
        <v>190</v>
      </c>
    </row>
    <row r="13">
      <c r="A13" t="str">
        <v>M12</v>
      </c>
      <c r="B13" t="str">
        <v>A</v>
      </c>
      <c r="C13">
        <v>28</v>
      </c>
      <c r="D13">
        <f>ROUND(C13-AVERAGE($C$2:$C$13),2)</f>
        <v>-17.33</v>
      </c>
      <c r="E13">
        <f>ROUND(D13^2,2)</f>
        <v>300.33</v>
      </c>
      <c r="Y13" t="str">
        <v>So dong theo tieu chi W1:W2</v>
      </c>
      <c r="Z13">
        <f>DCOUNT(A1:E13,"GiaTri",W1:W2)</f>
        <v>5</v>
      </c>
    </row>
  </sheetData>
  <ignoredErrors>
    <ignoredError numberStoredAsText="1" sqref="A1:Z13"/>
  </ignoredErrors>
</worksheet>
</file>

<file path=xl/worksheets/sheet37.xml><?xml version="1.0" encoding="utf-8"?>
<worksheet xmlns="http://schemas.openxmlformats.org/spreadsheetml/2006/main" xmlns:r="http://schemas.openxmlformats.org/officeDocument/2006/relationships">
  <dimension ref="A1:E37"/>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1.67</v>
      </c>
      <c r="C2">
        <f>'toan10tk'!D2</f>
      </c>
      <c r="D2">
        <f>IF(ISERROR(C2),LEFT(B2&amp;"",1)="#",IF(ISNUMBER(C2),AND(ISNUMBER(B2),ABS(C2-B2)&lt;=0.000001*MAX(1,ABS(B2))),EXACT(C2&amp;"",B2&amp;"")))</f>
      </c>
      <c r="E2">
        <f>ISERROR(C2)</f>
      </c>
    </row>
    <row r="3">
      <c r="A3" t="str">
        <v>D3</v>
      </c>
      <c r="B3">
        <v>1.67</v>
      </c>
      <c r="C3">
        <f>'toan10tk'!D3</f>
      </c>
      <c r="D3">
        <f>IF(ISERROR(C3),LEFT(B3&amp;"",1)="#",IF(ISNUMBER(C3),AND(ISNUMBER(B3),ABS(C3-B3)&lt;=0.000001*MAX(1,ABS(B3))),EXACT(C3&amp;"",B3&amp;"")))</f>
      </c>
      <c r="E3">
        <f>ISERROR(C3)</f>
      </c>
    </row>
    <row r="4">
      <c r="A4" t="str">
        <v>D4</v>
      </c>
      <c r="B4">
        <v>1.67</v>
      </c>
      <c r="C4">
        <f>'toan10tk'!D4</f>
      </c>
      <c r="D4">
        <f>IF(ISERROR(C4),LEFT(B4&amp;"",1)="#",IF(ISNUMBER(C4),AND(ISNUMBER(B4),ABS(C4-B4)&lt;=0.000001*MAX(1,ABS(B4))),EXACT(C4&amp;"",B4&amp;"")))</f>
      </c>
      <c r="E4">
        <f>ISERROR(C4)</f>
      </c>
    </row>
    <row r="5">
      <c r="A5" t="str">
        <v>D5</v>
      </c>
      <c r="B5">
        <v>18.67</v>
      </c>
      <c r="C5">
        <f>'toan10tk'!D5</f>
      </c>
      <c r="D5">
        <f>IF(ISERROR(C5),LEFT(B5&amp;"",1)="#",IF(ISNUMBER(C5),AND(ISNUMBER(B5),ABS(C5-B5)&lt;=0.000001*MAX(1,ABS(B5))),EXACT(C5&amp;"",B5&amp;"")))</f>
      </c>
      <c r="E5">
        <f>ISERROR(C5)</f>
      </c>
    </row>
    <row r="6">
      <c r="A6" t="str">
        <v>D6</v>
      </c>
      <c r="B6">
        <v>-32.33</v>
      </c>
      <c r="C6">
        <f>'toan10tk'!D6</f>
      </c>
      <c r="D6">
        <f>IF(ISERROR(C6),LEFT(B6&amp;"",1)="#",IF(ISNUMBER(C6),AND(ISNUMBER(B6),ABS(C6-B6)&lt;=0.000001*MAX(1,ABS(B6))),EXACT(C6&amp;"",B6&amp;"")))</f>
      </c>
      <c r="E6">
        <f>ISERROR(C6)</f>
      </c>
    </row>
    <row r="7">
      <c r="A7" t="str">
        <v>D7</v>
      </c>
      <c r="B7">
        <v>-5.33</v>
      </c>
      <c r="C7">
        <f>'toan10tk'!D7</f>
      </c>
      <c r="D7">
        <f>IF(ISERROR(C7),LEFT(B7&amp;"",1)="#",IF(ISNUMBER(C7),AND(ISNUMBER(B7),ABS(C7-B7)&lt;=0.000001*MAX(1,ABS(B7))),EXACT(C7&amp;"",B7&amp;"")))</f>
      </c>
      <c r="E7">
        <f>ISERROR(C7)</f>
      </c>
    </row>
    <row r="8">
      <c r="A8" t="str">
        <v>D8</v>
      </c>
      <c r="B8">
        <v>-13.33</v>
      </c>
      <c r="C8">
        <f>'toan10tk'!D8</f>
      </c>
      <c r="D8">
        <f>IF(ISERROR(C8),LEFT(B8&amp;"",1)="#",IF(ISNUMBER(C8),AND(ISNUMBER(B8),ABS(C8-B8)&lt;=0.000001*MAX(1,ABS(B8))),EXACT(C8&amp;"",B8&amp;"")))</f>
      </c>
      <c r="E8">
        <f>ISERROR(C8)</f>
      </c>
    </row>
    <row r="9">
      <c r="A9" t="str">
        <v>D9</v>
      </c>
      <c r="B9">
        <v>12.67</v>
      </c>
      <c r="C9">
        <f>'toan10tk'!D9</f>
      </c>
      <c r="D9">
        <f>IF(ISERROR(C9),LEFT(B9&amp;"",1)="#",IF(ISNUMBER(C9),AND(ISNUMBER(B9),ABS(C9-B9)&lt;=0.000001*MAX(1,ABS(B9))),EXACT(C9&amp;"",B9&amp;"")))</f>
      </c>
      <c r="E9">
        <f>ISERROR(C9)</f>
      </c>
    </row>
    <row r="10">
      <c r="A10" t="str">
        <v>D10</v>
      </c>
      <c r="B10">
        <v>20.67</v>
      </c>
      <c r="C10">
        <f>'toan10tk'!D10</f>
      </c>
      <c r="D10">
        <f>IF(ISERROR(C10),LEFT(B10&amp;"",1)="#",IF(ISNUMBER(C10),AND(ISNUMBER(B10),ABS(C10-B10)&lt;=0.000001*MAX(1,ABS(B10))),EXACT(C10&amp;"",B10&amp;"")))</f>
      </c>
      <c r="E10">
        <f>ISERROR(C10)</f>
      </c>
    </row>
    <row r="11">
      <c r="A11" t="str">
        <v>D11</v>
      </c>
      <c r="B11">
        <v>-3.33</v>
      </c>
      <c r="C11">
        <f>'toan10tk'!D11</f>
      </c>
      <c r="D11">
        <f>IF(ISERROR(C11),LEFT(B11&amp;"",1)="#",IF(ISNUMBER(C11),AND(ISNUMBER(B11),ABS(C11-B11)&lt;=0.000001*MAX(1,ABS(B11))),EXACT(C11&amp;"",B11&amp;"")))</f>
      </c>
      <c r="E11">
        <f>ISERROR(C11)</f>
      </c>
    </row>
    <row r="12">
      <c r="A12" t="str">
        <v>D12</v>
      </c>
      <c r="B12">
        <v>14.67</v>
      </c>
      <c r="C12">
        <f>'toan10tk'!D12</f>
      </c>
      <c r="D12">
        <f>IF(ISERROR(C12),LEFT(B12&amp;"",1)="#",IF(ISNUMBER(C12),AND(ISNUMBER(B12),ABS(C12-B12)&lt;=0.000001*MAX(1,ABS(B12))),EXACT(C12&amp;"",B12&amp;"")))</f>
      </c>
      <c r="E12">
        <f>ISERROR(C12)</f>
      </c>
    </row>
    <row r="13">
      <c r="A13" t="str">
        <v>D13</v>
      </c>
      <c r="B13">
        <v>-17.33</v>
      </c>
      <c r="C13">
        <f>'toan10tk'!D13</f>
      </c>
      <c r="D13">
        <f>IF(ISERROR(C13),LEFT(B13&amp;"",1)="#",IF(ISNUMBER(C13),AND(ISNUMBER(B13),ABS(C13-B13)&lt;=0.000001*MAX(1,ABS(B13))),EXACT(C13&amp;"",B13&amp;"")))</f>
      </c>
      <c r="E13">
        <f>ISERROR(C13)</f>
      </c>
    </row>
    <row r="14">
      <c r="A14" t="str">
        <v>E2</v>
      </c>
      <c r="B14">
        <v>2.79</v>
      </c>
      <c r="C14">
        <f>'toan10tk'!E2</f>
      </c>
      <c r="D14">
        <f>IF(ISERROR(C14),LEFT(B14&amp;"",1)="#",IF(ISNUMBER(C14),AND(ISNUMBER(B14),ABS(C14-B14)&lt;=0.000001*MAX(1,ABS(B14))),EXACT(C14&amp;"",B14&amp;"")))</f>
      </c>
      <c r="E14">
        <f>ISERROR(C14)</f>
      </c>
    </row>
    <row r="15">
      <c r="A15" t="str">
        <v>E3</v>
      </c>
      <c r="B15">
        <v>2.79</v>
      </c>
      <c r="C15">
        <f>'toan10tk'!E3</f>
      </c>
      <c r="D15">
        <f>IF(ISERROR(C15),LEFT(B15&amp;"",1)="#",IF(ISNUMBER(C15),AND(ISNUMBER(B15),ABS(C15-B15)&lt;=0.000001*MAX(1,ABS(B15))),EXACT(C15&amp;"",B15&amp;"")))</f>
      </c>
      <c r="E15">
        <f>ISERROR(C15)</f>
      </c>
    </row>
    <row r="16">
      <c r="A16" t="str">
        <v>E4</v>
      </c>
      <c r="B16">
        <v>2.79</v>
      </c>
      <c r="C16">
        <f>'toan10tk'!E4</f>
      </c>
      <c r="D16">
        <f>IF(ISERROR(C16),LEFT(B16&amp;"",1)="#",IF(ISNUMBER(C16),AND(ISNUMBER(B16),ABS(C16-B16)&lt;=0.000001*MAX(1,ABS(B16))),EXACT(C16&amp;"",B16&amp;"")))</f>
      </c>
      <c r="E16">
        <f>ISERROR(C16)</f>
      </c>
    </row>
    <row r="17">
      <c r="A17" t="str">
        <v>E5</v>
      </c>
      <c r="B17">
        <v>348.57</v>
      </c>
      <c r="C17">
        <f>'toan10tk'!E5</f>
      </c>
      <c r="D17">
        <f>IF(ISERROR(C17),LEFT(B17&amp;"",1)="#",IF(ISNUMBER(C17),AND(ISNUMBER(B17),ABS(C17-B17)&lt;=0.000001*MAX(1,ABS(B17))),EXACT(C17&amp;"",B17&amp;"")))</f>
      </c>
      <c r="E17">
        <f>ISERROR(C17)</f>
      </c>
    </row>
    <row r="18">
      <c r="A18" t="str">
        <v>E6</v>
      </c>
      <c r="B18">
        <v>1045.23</v>
      </c>
      <c r="C18">
        <f>'toan10tk'!E6</f>
      </c>
      <c r="D18">
        <f>IF(ISERROR(C18),LEFT(B18&amp;"",1)="#",IF(ISNUMBER(C18),AND(ISNUMBER(B18),ABS(C18-B18)&lt;=0.000001*MAX(1,ABS(B18))),EXACT(C18&amp;"",B18&amp;"")))</f>
      </c>
      <c r="E18">
        <f>ISERROR(C18)</f>
      </c>
    </row>
    <row r="19">
      <c r="A19" t="str">
        <v>E7</v>
      </c>
      <c r="B19">
        <v>28.41</v>
      </c>
      <c r="C19">
        <f>'toan10tk'!E7</f>
      </c>
      <c r="D19">
        <f>IF(ISERROR(C19),LEFT(B19&amp;"",1)="#",IF(ISNUMBER(C19),AND(ISNUMBER(B19),ABS(C19-B19)&lt;=0.000001*MAX(1,ABS(B19))),EXACT(C19&amp;"",B19&amp;"")))</f>
      </c>
      <c r="E19">
        <f>ISERROR(C19)</f>
      </c>
    </row>
    <row r="20">
      <c r="A20" t="str">
        <v>E8</v>
      </c>
      <c r="B20">
        <v>177.69</v>
      </c>
      <c r="C20">
        <f>'toan10tk'!E8</f>
      </c>
      <c r="D20">
        <f>IF(ISERROR(C20),LEFT(B20&amp;"",1)="#",IF(ISNUMBER(C20),AND(ISNUMBER(B20),ABS(C20-B20)&lt;=0.000001*MAX(1,ABS(B20))),EXACT(C20&amp;"",B20&amp;"")))</f>
      </c>
      <c r="E20">
        <f>ISERROR(C20)</f>
      </c>
    </row>
    <row r="21">
      <c r="A21" t="str">
        <v>E9</v>
      </c>
      <c r="B21">
        <v>160.53</v>
      </c>
      <c r="C21">
        <f>'toan10tk'!E9</f>
      </c>
      <c r="D21">
        <f>IF(ISERROR(C21),LEFT(B21&amp;"",1)="#",IF(ISNUMBER(C21),AND(ISNUMBER(B21),ABS(C21-B21)&lt;=0.000001*MAX(1,ABS(B21))),EXACT(C21&amp;"",B21&amp;"")))</f>
      </c>
      <c r="E21">
        <f>ISERROR(C21)</f>
      </c>
    </row>
    <row r="22">
      <c r="A22" t="str">
        <v>E10</v>
      </c>
      <c r="B22">
        <v>427.25</v>
      </c>
      <c r="C22">
        <f>'toan10tk'!E10</f>
      </c>
      <c r="D22">
        <f>IF(ISERROR(C22),LEFT(B22&amp;"",1)="#",IF(ISNUMBER(C22),AND(ISNUMBER(B22),ABS(C22-B22)&lt;=0.000001*MAX(1,ABS(B22))),EXACT(C22&amp;"",B22&amp;"")))</f>
      </c>
      <c r="E22">
        <f>ISERROR(C22)</f>
      </c>
    </row>
    <row r="23">
      <c r="A23" t="str">
        <v>E11</v>
      </c>
      <c r="B23">
        <v>11.09</v>
      </c>
      <c r="C23">
        <f>'toan10tk'!E11</f>
      </c>
      <c r="D23">
        <f>IF(ISERROR(C23),LEFT(B23&amp;"",1)="#",IF(ISNUMBER(C23),AND(ISNUMBER(B23),ABS(C23-B23)&lt;=0.000001*MAX(1,ABS(B23))),EXACT(C23&amp;"",B23&amp;"")))</f>
      </c>
      <c r="E23">
        <f>ISERROR(C23)</f>
      </c>
    </row>
    <row r="24">
      <c r="A24" t="str">
        <v>E12</v>
      </c>
      <c r="B24">
        <v>215.21</v>
      </c>
      <c r="C24">
        <f>'toan10tk'!E12</f>
      </c>
      <c r="D24">
        <f>IF(ISERROR(C24),LEFT(B24&amp;"",1)="#",IF(ISNUMBER(C24),AND(ISNUMBER(B24),ABS(C24-B24)&lt;=0.000001*MAX(1,ABS(B24))),EXACT(C24&amp;"",B24&amp;"")))</f>
      </c>
      <c r="E24">
        <f>ISERROR(C24)</f>
      </c>
    </row>
    <row r="25">
      <c r="A25" t="str">
        <v>E13</v>
      </c>
      <c r="B25">
        <v>300.33</v>
      </c>
      <c r="C25">
        <f>'toan10tk'!E13</f>
      </c>
      <c r="D25">
        <f>IF(ISERROR(C25),LEFT(B25&amp;"",1)="#",IF(ISNUMBER(C25),AND(ISNUMBER(B25),ABS(C25-B25)&lt;=0.000001*MAX(1,ABS(B25))),EXACT(C25&amp;"",B25&amp;"")))</f>
      </c>
      <c r="E25">
        <f>ISERROR(C25)</f>
      </c>
    </row>
    <row r="26">
      <c r="A26" t="str">
        <v>Z2</v>
      </c>
      <c r="B26">
        <v>45.33</v>
      </c>
      <c r="C26">
        <f>'toan10tk'!Z2</f>
      </c>
      <c r="D26">
        <f>IF(ISERROR(C26),LEFT(B26&amp;"",1)="#",IF(ISNUMBER(C26),AND(ISNUMBER(B26),ABS(C26-B26)&lt;=0.000001*MAX(1,ABS(B26))),EXACT(C26&amp;"",B26&amp;"")))</f>
      </c>
      <c r="E26">
        <f>ISERROR(C26)</f>
      </c>
    </row>
    <row r="27">
      <c r="A27" t="str">
        <v>Z3</v>
      </c>
      <c r="B27">
        <v>47</v>
      </c>
      <c r="C27">
        <f>'toan10tk'!Z3</f>
      </c>
      <c r="D27">
        <f>IF(ISERROR(C27),LEFT(B27&amp;"",1)="#",IF(ISNUMBER(C27),AND(ISNUMBER(B27),ABS(C27-B27)&lt;=0.000001*MAX(1,ABS(B27))),EXACT(C27&amp;"",B27&amp;"")))</f>
      </c>
      <c r="E27">
        <f>ISERROR(C27)</f>
      </c>
    </row>
    <row r="28">
      <c r="A28" t="str">
        <v>Z4</v>
      </c>
      <c r="B28">
        <v>47</v>
      </c>
      <c r="C28">
        <f>'toan10tk'!Z4</f>
      </c>
      <c r="D28">
        <f>IF(ISERROR(C28),LEFT(B28&amp;"",1)="#",IF(ISNUMBER(C28),AND(ISNUMBER(B28),ABS(C28-B28)&lt;=0.000001*MAX(1,ABS(B28))),EXACT(C28&amp;"",B28&amp;"")))</f>
      </c>
      <c r="E28">
        <f>ISERROR(C28)</f>
      </c>
    </row>
    <row r="29">
      <c r="A29" t="str">
        <v>Z5</v>
      </c>
      <c r="B29">
        <v>53</v>
      </c>
      <c r="C29">
        <f>'toan10tk'!Z5</f>
      </c>
      <c r="D29">
        <f>IF(ISERROR(C29),LEFT(B29&amp;"",1)="#",IF(ISNUMBER(C29),AND(ISNUMBER(B29),ABS(C29-B29)&lt;=0.000001*MAX(1,ABS(B29))),EXACT(C29&amp;"",B29&amp;"")))</f>
      </c>
      <c r="E29">
        <f>ISERROR(C29)</f>
      </c>
    </row>
    <row r="30">
      <c r="A30" t="str">
        <v>Z6</v>
      </c>
      <c r="B30">
        <v>226.89</v>
      </c>
      <c r="C30">
        <f>'toan10tk'!Z6</f>
      </c>
      <c r="D30">
        <f>IF(ISERROR(C30),LEFT(B30&amp;"",1)="#",IF(ISNUMBER(C30),AND(ISNUMBER(B30),ABS(C30-B30)&lt;=0.000001*MAX(1,ABS(B30))),EXACT(C30&amp;"",B30&amp;"")))</f>
      </c>
      <c r="E30">
        <f>ISERROR(C30)</f>
      </c>
    </row>
    <row r="31">
      <c r="A31" t="str">
        <v>Z7</v>
      </c>
      <c r="B31">
        <v>15.06</v>
      </c>
      <c r="C31">
        <f>'toan10tk'!Z7</f>
      </c>
      <c r="D31">
        <f>IF(ISERROR(C31),LEFT(B31&amp;"",1)="#",IF(ISNUMBER(C31),AND(ISNUMBER(B31),ABS(C31-B31)&lt;=0.000001*MAX(1,ABS(B31))),EXACT(C31&amp;"",B31&amp;"")))</f>
      </c>
      <c r="E31">
        <f>ISERROR(C31)</f>
      </c>
    </row>
    <row r="32">
      <c r="A32" t="str">
        <v>Z8</v>
      </c>
      <c r="B32">
        <v>2722.6800000000003</v>
      </c>
      <c r="C32">
        <f>'toan10tk'!Z8</f>
      </c>
      <c r="D32">
        <f>IF(ISERROR(C32),LEFT(B32&amp;"",1)="#",IF(ISNUMBER(C32),AND(ISNUMBER(B32),ABS(C32-B32)&lt;=0.000001*MAX(1,ABS(B32))),EXACT(C32&amp;"",B32&amp;"")))</f>
      </c>
      <c r="E32">
        <f>ISERROR(C32)</f>
      </c>
    </row>
    <row r="33">
      <c r="A33" t="str">
        <v>Z9</v>
      </c>
      <c r="B33">
        <v>190</v>
      </c>
      <c r="C33">
        <f>'toan10tk'!Z9</f>
      </c>
      <c r="D33">
        <f>IF(ISERROR(C33),LEFT(B33&amp;"",1)="#",IF(ISNUMBER(C33),AND(ISNUMBER(B33),ABS(C33-B33)&lt;=0.000001*MAX(1,ABS(B33))),EXACT(C33&amp;"",B33&amp;"")))</f>
      </c>
      <c r="E33">
        <f>ISERROR(C33)</f>
      </c>
    </row>
    <row r="34">
      <c r="A34" t="str">
        <v>Z10</v>
      </c>
      <c r="B34">
        <v>43.5</v>
      </c>
      <c r="C34">
        <f>'toan10tk'!Z10</f>
      </c>
      <c r="D34">
        <f>IF(ISERROR(C34),LEFT(B34&amp;"",1)="#",IF(ISNUMBER(C34),AND(ISNUMBER(B34),ABS(C34-B34)&lt;=0.000001*MAX(1,ABS(B34))),EXACT(C34&amp;"",B34&amp;"")))</f>
      </c>
      <c r="E34">
        <f>ISERROR(C34)</f>
      </c>
    </row>
    <row r="35">
      <c r="A35" t="str">
        <v>Z11</v>
      </c>
      <c r="B35">
        <v>66</v>
      </c>
      <c r="C35">
        <f>'toan10tk'!Z11</f>
      </c>
      <c r="D35">
        <f>IF(ISERROR(C35),LEFT(B35&amp;"",1)="#",IF(ISNUMBER(C35),AND(ISNUMBER(B35),ABS(C35-B35)&lt;=0.000001*MAX(1,ABS(B35))),EXACT(C35&amp;"",B35&amp;"")))</f>
      </c>
      <c r="E35">
        <f>ISERROR(C35)</f>
      </c>
    </row>
    <row r="36">
      <c r="A36" t="str">
        <v>Z12</v>
      </c>
      <c r="B36">
        <v>190</v>
      </c>
      <c r="C36">
        <f>'toan10tk'!Z12</f>
      </c>
      <c r="D36">
        <f>IF(ISERROR(C36),LEFT(B36&amp;"",1)="#",IF(ISNUMBER(C36),AND(ISNUMBER(B36),ABS(C36-B36)&lt;=0.000001*MAX(1,ABS(B36))),EXACT(C36&amp;"",B36&amp;"")))</f>
      </c>
      <c r="E36">
        <f>ISERROR(C36)</f>
      </c>
    </row>
    <row r="37">
      <c r="A37" t="str">
        <v>Z13</v>
      </c>
      <c r="B37">
        <v>5</v>
      </c>
      <c r="C37">
        <f>'toan10tk'!Z13</f>
      </c>
      <c r="D37">
        <f>IF(ISERROR(C37),LEFT(B37&amp;"",1)="#",IF(ISNUMBER(C37),AND(ISNUMBER(B37),ABS(C37-B37)&lt;=0.000001*MAX(1,ABS(B37))),EXACT(C37&amp;"",B37&amp;"")))</f>
      </c>
      <c r="E37">
        <f>ISERROR(C37)</f>
      </c>
    </row>
  </sheetData>
  <ignoredErrors>
    <ignoredError numberStoredAsText="1" sqref="A1:E37"/>
  </ignoredErrors>
</worksheet>
</file>

<file path=xl/worksheets/sheet3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MaTN</v>
      </c>
      <c r="B1" t="str">
        <v>Vat</v>
      </c>
      <c r="C1" t="str">
        <v>KhoiLuong</v>
      </c>
      <c r="D1" t="str">
        <v>VanToc</v>
      </c>
      <c r="E1" t="str">
        <v>DoCao</v>
      </c>
      <c r="F1" t="str">
        <v>GocNem</v>
      </c>
      <c r="G1" t="str">
        <v>STT</v>
      </c>
      <c r="H1" t="str">
        <v>TheTichLit</v>
      </c>
      <c r="I1" t="str">
        <v>DongNang</v>
      </c>
      <c r="J1" t="str">
        <v>TheNang</v>
      </c>
      <c r="K1" t="str">
        <v>CoNang</v>
      </c>
      <c r="L1" t="str">
        <v>VanTocCham</v>
      </c>
      <c r="M1" t="str">
        <v>TamXa</v>
      </c>
      <c r="N1" t="str">
        <v>MucNangLuong</v>
      </c>
      <c r="R1" t="str">
        <v>Vat</v>
      </c>
      <c r="S1" t="str">
        <v>KhoiLuongRieng</v>
      </c>
      <c r="T1" t="str">
        <v>g</v>
      </c>
      <c r="U1">
        <v>9.8</v>
      </c>
      <c r="W1" t="str">
        <v>Vat</v>
      </c>
      <c r="Y1" t="str">
        <v>TongHop</v>
      </c>
      <c r="Z1" t="str">
        <v>KetQua</v>
      </c>
    </row>
    <row r="2">
      <c r="A2" t="str">
        <v>TN01</v>
      </c>
      <c r="B2" t="str">
        <v>SAT</v>
      </c>
      <c r="C2">
        <v>14</v>
      </c>
      <c r="D2">
        <v>14</v>
      </c>
      <c r="E2">
        <v>25</v>
      </c>
      <c r="F2">
        <v>15</v>
      </c>
      <c r="G2">
        <f>VALUE(RIGHT(A2,2))</f>
        <v>1</v>
      </c>
      <c r="H2">
        <f>ROUND(C2/VLOOKUP(B2,$R$2:$S$5,2,FALSE)*1000,3)</f>
        <v>1.795</v>
      </c>
      <c r="I2">
        <f>ROUND(0.5*C2*POWER(D2,2),2)</f>
        <v>1372</v>
      </c>
      <c r="J2">
        <f>ROUND(C2*$U$1*E2,2)</f>
        <v>3430</v>
      </c>
      <c r="K2">
        <f>ROUND(I2+J2,2)</f>
        <v>4802</v>
      </c>
      <c r="L2">
        <f>ROUND(SQRT(D2^2+2*$U$1*E2),2)</f>
        <v>26.19</v>
      </c>
      <c r="M2">
        <f>ROUND(D2^2*SIN(2*RADIANS(F2))/$U$1,2)</f>
        <v>10</v>
      </c>
      <c r="N2" t="str">
        <f>IF(K2&gt;=1000,"CAO",IF(K2&gt;=300,"VUA","THAP"))</f>
        <v>CAO</v>
      </c>
      <c r="R2" t="str">
        <v>SAT</v>
      </c>
      <c r="S2">
        <v>7800</v>
      </c>
      <c r="W2" t="str">
        <v>SAT</v>
      </c>
      <c r="Y2" t="str">
        <v>Ma TN co CoNang lon nhat</v>
      </c>
      <c r="Z2" t="str">
        <f>INDEX(A2:A13,MATCH(MAX(K2:K13),K2:K13,0))</f>
        <v>TN08</v>
      </c>
    </row>
    <row r="3">
      <c r="A3" t="str">
        <v>TN02</v>
      </c>
      <c r="B3" t="str">
        <v>NHOM</v>
      </c>
      <c r="C3">
        <v>4.5</v>
      </c>
      <c r="D3">
        <v>27</v>
      </c>
      <c r="E3">
        <v>1</v>
      </c>
      <c r="F3">
        <v>60</v>
      </c>
      <c r="G3">
        <f>VALUE(RIGHT(A3,2))</f>
        <v>2</v>
      </c>
      <c r="H3">
        <f>ROUND(C3/VLOOKUP(B3,$R$2:$S$5,2,FALSE)*1000,3)</f>
        <v>1.667</v>
      </c>
      <c r="I3">
        <f>ROUND(0.5*C3*POWER(D3,2),2)</f>
        <v>1640.25</v>
      </c>
      <c r="J3">
        <f>ROUND(C3*$U$1*E3,2)</f>
        <v>44.1</v>
      </c>
      <c r="K3">
        <f>ROUND(I3+J3,2)</f>
        <v>1684.35</v>
      </c>
      <c r="L3">
        <f>ROUND(SQRT(D3^2+2*$U$1*E3),2)</f>
        <v>27.36</v>
      </c>
      <c r="M3">
        <f>ROUND(D3^2*SIN(2*RADIANS(F3))/$U$1,2)</f>
        <v>64.42</v>
      </c>
      <c r="N3" t="str">
        <f>IF(K3&gt;=1000,"CAO",IF(K3&gt;=300,"VUA","THAP"))</f>
        <v>CAO</v>
      </c>
      <c r="R3" t="str">
        <v>NHOM</v>
      </c>
      <c r="S3">
        <v>2700</v>
      </c>
      <c r="Y3" t="str">
        <v>Tong CoNang vat SAT</v>
      </c>
      <c r="Z3">
        <f>SUMIF(B2:B13,"SAT",K2:K13)</f>
        <v>20818.9</v>
      </c>
    </row>
    <row r="4">
      <c r="A4" t="str">
        <v>TN03</v>
      </c>
      <c r="B4" t="str">
        <v>GO</v>
      </c>
      <c r="C4">
        <v>6.5</v>
      </c>
      <c r="D4">
        <v>22</v>
      </c>
      <c r="E4">
        <v>32</v>
      </c>
      <c r="F4">
        <v>30</v>
      </c>
      <c r="G4">
        <f>VALUE(RIGHT(A4,2))</f>
        <v>3</v>
      </c>
      <c r="H4">
        <f>ROUND(C4/VLOOKUP(B4,$R$2:$S$5,2,FALSE)*1000,3)</f>
        <v>10.833</v>
      </c>
      <c r="I4">
        <f>ROUND(0.5*C4*POWER(D4,2),2)</f>
        <v>1573</v>
      </c>
      <c r="J4">
        <f>ROUND(C4*$U$1*E4,2)</f>
        <v>2038.4</v>
      </c>
      <c r="K4">
        <f>ROUND(I4+J4,2)</f>
        <v>3611.4</v>
      </c>
      <c r="L4">
        <f>ROUND(SQRT(D4^2+2*$U$1*E4),2)</f>
        <v>33.33</v>
      </c>
      <c r="M4">
        <f>ROUND(D4^2*SIN(2*RADIANS(F4))/$U$1,2)</f>
        <v>42.77</v>
      </c>
      <c r="N4" t="str">
        <f>IF(K4&gt;=1000,"CAO",IF(K4&gt;=300,"VUA","THAP"))</f>
        <v>CAO</v>
      </c>
      <c r="R4" t="str">
        <v>GO</v>
      </c>
      <c r="S4">
        <v>600</v>
      </c>
      <c r="Y4" t="str">
        <v>So TN vat NHOM, GocNem &gt;= 45</v>
      </c>
      <c r="Z4">
        <f>COUNTIFS(B2:B13,"NHOM",F2:F13,"&gt;=45")</f>
        <v>2</v>
      </c>
    </row>
    <row r="5">
      <c r="A5" t="str">
        <v>TN04</v>
      </c>
      <c r="B5" t="str">
        <v>DONG</v>
      </c>
      <c r="C5">
        <v>7.5</v>
      </c>
      <c r="D5">
        <v>26</v>
      </c>
      <c r="E5">
        <v>39</v>
      </c>
      <c r="F5">
        <v>60</v>
      </c>
      <c r="G5">
        <f>VALUE(RIGHT(A5,2))</f>
        <v>4</v>
      </c>
      <c r="H5">
        <f>ROUND(C5/VLOOKUP(B5,$R$2:$S$5,2,FALSE)*1000,3)</f>
        <v>0.837</v>
      </c>
      <c r="I5">
        <f>ROUND(0.5*C5*POWER(D5,2),2)</f>
        <v>2535</v>
      </c>
      <c r="J5">
        <f>ROUND(C5*$U$1*E5,2)</f>
        <v>2866.5</v>
      </c>
      <c r="K5">
        <f>ROUND(I5+J5,2)</f>
        <v>5401.5</v>
      </c>
      <c r="L5">
        <f>ROUND(SQRT(D5^2+2*$U$1*E5),2)</f>
        <v>37.95</v>
      </c>
      <c r="M5">
        <f>ROUND(D5^2*SIN(2*RADIANS(F5))/$U$1,2)</f>
        <v>59.74</v>
      </c>
      <c r="N5" t="str">
        <f>IF(K5&gt;=1000,"CAO",IF(K5&gt;=300,"VUA","THAP"))</f>
        <v>CAO</v>
      </c>
      <c r="R5" t="str">
        <v>DONG</v>
      </c>
      <c r="S5">
        <v>8960</v>
      </c>
      <c r="Y5" t="str">
        <v>VanTocCham TB vat GO</v>
      </c>
      <c r="Z5">
        <f>AVERAGEIF(B2:B13,"GO",L2:L13)</f>
        <v>36.39</v>
      </c>
    </row>
    <row r="6">
      <c r="A6" t="str">
        <v>TN05</v>
      </c>
      <c r="B6" t="str">
        <v>SAT</v>
      </c>
      <c r="C6">
        <v>16</v>
      </c>
      <c r="D6">
        <v>27</v>
      </c>
      <c r="E6">
        <v>12</v>
      </c>
      <c r="F6">
        <v>60</v>
      </c>
      <c r="G6">
        <f>VALUE(RIGHT(A6,2))</f>
        <v>5</v>
      </c>
      <c r="H6">
        <f>ROUND(C6/VLOOKUP(B6,$R$2:$S$5,2,FALSE)*1000,3)</f>
        <v>2.051</v>
      </c>
      <c r="I6">
        <f>ROUND(0.5*C6*POWER(D6,2),2)</f>
        <v>5832</v>
      </c>
      <c r="J6">
        <f>ROUND(C6*$U$1*E6,2)</f>
        <v>1881.6</v>
      </c>
      <c r="K6">
        <f>ROUND(I6+J6,2)</f>
        <v>7713.6</v>
      </c>
      <c r="L6">
        <f>ROUND(SQRT(D6^2+2*$U$1*E6),2)</f>
        <v>31.05</v>
      </c>
      <c r="M6">
        <f>ROUND(D6^2*SIN(2*RADIANS(F6))/$U$1,2)</f>
        <v>64.42</v>
      </c>
      <c r="N6" t="str">
        <f>IF(K6&gt;=1000,"CAO",IF(K6&gt;=300,"VUA","THAP"))</f>
        <v>CAO</v>
      </c>
      <c r="Y6" t="str">
        <v>TamXa lon nhat vat SAT</v>
      </c>
      <c r="Z6">
        <f>_xlfn.MAXIFS(M2:M13,B2:B13,"SAT")</f>
        <v>64.42</v>
      </c>
    </row>
    <row r="7">
      <c r="A7" t="str">
        <v>TN06</v>
      </c>
      <c r="B7" t="str">
        <v>DONG</v>
      </c>
      <c r="C7">
        <v>5</v>
      </c>
      <c r="D7">
        <v>15</v>
      </c>
      <c r="E7">
        <v>16</v>
      </c>
      <c r="F7">
        <v>45</v>
      </c>
      <c r="G7">
        <f>VALUE(RIGHT(A7,2))</f>
        <v>6</v>
      </c>
      <c r="H7">
        <f>ROUND(C7/VLOOKUP(B7,$R$2:$S$5,2,FALSE)*1000,3)</f>
        <v>0.558</v>
      </c>
      <c r="I7">
        <f>ROUND(0.5*C7*POWER(D7,2),2)</f>
        <v>562.5</v>
      </c>
      <c r="J7">
        <f>ROUND(C7*$U$1*E7,2)</f>
        <v>784</v>
      </c>
      <c r="K7">
        <f>ROUND(I7+J7,2)</f>
        <v>1346.5</v>
      </c>
      <c r="L7">
        <f>ROUND(SQRT(D7^2+2*$U$1*E7),2)</f>
        <v>23.21</v>
      </c>
      <c r="M7">
        <f>ROUND(D7^2*SIN(2*RADIANS(F7))/$U$1,2)</f>
        <v>22.96</v>
      </c>
      <c r="N7" t="str">
        <f>IF(K7&gt;=1000,"CAO",IF(K7&gt;=300,"VUA","THAP"))</f>
        <v>CAO</v>
      </c>
      <c r="Y7" t="str">
        <v>CoNang trung vi</v>
      </c>
      <c r="Z7">
        <f>MEDIAN(K2:K13)</f>
        <v>4258.5</v>
      </c>
    </row>
    <row r="8">
      <c r="A8" t="str">
        <v>TN07</v>
      </c>
      <c r="B8" t="str">
        <v>SAT</v>
      </c>
      <c r="C8">
        <v>5</v>
      </c>
      <c r="D8">
        <v>15</v>
      </c>
      <c r="E8">
        <v>44</v>
      </c>
      <c r="F8">
        <v>60</v>
      </c>
      <c r="G8">
        <f>VALUE(RIGHT(A8,2))</f>
        <v>7</v>
      </c>
      <c r="H8">
        <f>ROUND(C8/VLOOKUP(B8,$R$2:$S$5,2,FALSE)*1000,3)</f>
        <v>0.641</v>
      </c>
      <c r="I8">
        <f>ROUND(0.5*C8*POWER(D8,2),2)</f>
        <v>562.5</v>
      </c>
      <c r="J8">
        <f>ROUND(C8*$U$1*E8,2)</f>
        <v>2156</v>
      </c>
      <c r="K8">
        <f>ROUND(I8+J8,2)</f>
        <v>2718.5</v>
      </c>
      <c r="L8">
        <f>ROUND(SQRT(D8^2+2*$U$1*E8),2)</f>
        <v>32.98</v>
      </c>
      <c r="M8">
        <f>ROUND(D8^2*SIN(2*RADIANS(F8))/$U$1,2)</f>
        <v>19.88</v>
      </c>
      <c r="N8" t="str">
        <f>IF(K8&gt;=1000,"CAO",IF(K8&gt;=300,"VUA","THAP"))</f>
        <v>CAO</v>
      </c>
      <c r="Y8" t="str">
        <v>CoNang lon thu hai</v>
      </c>
      <c r="Z8">
        <f>LARGE(K2:K13,2)</f>
        <v>7713.6</v>
      </c>
    </row>
    <row r="9">
      <c r="A9" t="str">
        <v>TN08</v>
      </c>
      <c r="B9" t="str">
        <v>GO</v>
      </c>
      <c r="C9">
        <v>17</v>
      </c>
      <c r="D9">
        <v>29</v>
      </c>
      <c r="E9">
        <v>47</v>
      </c>
      <c r="F9">
        <v>60</v>
      </c>
      <c r="G9">
        <f>VALUE(RIGHT(A9,2))</f>
        <v>8</v>
      </c>
      <c r="H9">
        <f>ROUND(C9/VLOOKUP(B9,$R$2:$S$5,2,FALSE)*1000,3)</f>
        <v>28.333</v>
      </c>
      <c r="I9">
        <f>ROUND(0.5*C9*POWER(D9,2),2)</f>
        <v>7148.5</v>
      </c>
      <c r="J9">
        <f>ROUND(C9*$U$1*E9,2)</f>
        <v>7830.2</v>
      </c>
      <c r="K9">
        <f>ROUND(I9+J9,2)</f>
        <v>14978.7</v>
      </c>
      <c r="L9">
        <f>ROUND(SQRT(D9^2+2*$U$1*E9),2)</f>
        <v>41.98</v>
      </c>
      <c r="M9">
        <f>ROUND(D9^2*SIN(2*RADIANS(F9))/$U$1,2)</f>
        <v>74.32</v>
      </c>
      <c r="N9" t="str">
        <f>IF(K9&gt;=1000,"CAO",IF(K9&gt;=300,"VUA","THAP"))</f>
        <v>CAO</v>
      </c>
      <c r="Y9" t="str">
        <v>Do lech chuan VanToc</v>
      </c>
      <c r="Z9">
        <f>ROUND(STDEV(D2:D13),2)</f>
        <v>8.91</v>
      </c>
    </row>
    <row r="10">
      <c r="A10" t="str">
        <v>TN09</v>
      </c>
      <c r="B10" t="str">
        <v>NHOM</v>
      </c>
      <c r="C10">
        <v>18.5</v>
      </c>
      <c r="D10">
        <v>8</v>
      </c>
      <c r="E10">
        <v>20</v>
      </c>
      <c r="F10">
        <v>30</v>
      </c>
      <c r="G10">
        <f>VALUE(RIGHT(A10,2))</f>
        <v>9</v>
      </c>
      <c r="H10">
        <f>ROUND(C10/VLOOKUP(B10,$R$2:$S$5,2,FALSE)*1000,3)</f>
        <v>6.852</v>
      </c>
      <c r="I10">
        <f>ROUND(0.5*C10*POWER(D10,2),2)</f>
        <v>592</v>
      </c>
      <c r="J10">
        <f>ROUND(C10*$U$1*E10,2)</f>
        <v>3626</v>
      </c>
      <c r="K10">
        <f>ROUND(I10+J10,2)</f>
        <v>4218</v>
      </c>
      <c r="L10">
        <f>ROUND(SQRT(D10^2+2*$U$1*E10),2)</f>
        <v>21.35</v>
      </c>
      <c r="M10">
        <f>ROUND(D10^2*SIN(2*RADIANS(F10))/$U$1,2)</f>
        <v>5.66</v>
      </c>
      <c r="N10" t="str">
        <f>IF(K10&gt;=1000,"CAO",IF(K10&gt;=300,"VUA","THAP"))</f>
        <v>CAO</v>
      </c>
      <c r="Y10" t="str">
        <v>Tong CoNang theo tieu chi W1:W2</v>
      </c>
      <c r="Z10">
        <f>DSUM(A1:N13,"CoNang",W1:W2)</f>
        <v>20818.9</v>
      </c>
    </row>
    <row r="11">
      <c r="A11" t="str">
        <v>TN10</v>
      </c>
      <c r="B11" t="str">
        <v>SAT</v>
      </c>
      <c r="C11">
        <v>13</v>
      </c>
      <c r="D11">
        <v>6</v>
      </c>
      <c r="E11">
        <v>42</v>
      </c>
      <c r="F11">
        <v>30</v>
      </c>
      <c r="G11">
        <f>VALUE(RIGHT(A11,2))</f>
        <v>10</v>
      </c>
      <c r="H11">
        <f>ROUND(C11/VLOOKUP(B11,$R$2:$S$5,2,FALSE)*1000,3)</f>
        <v>1.667</v>
      </c>
      <c r="I11">
        <f>ROUND(0.5*C11*POWER(D11,2),2)</f>
        <v>234</v>
      </c>
      <c r="J11">
        <f>ROUND(C11*$U$1*E11,2)</f>
        <v>5350.8</v>
      </c>
      <c r="K11">
        <f>ROUND(I11+J11,2)</f>
        <v>5584.8</v>
      </c>
      <c r="L11">
        <f>ROUND(SQRT(D11^2+2*$U$1*E11),2)</f>
        <v>29.31</v>
      </c>
      <c r="M11">
        <f>ROUND(D11^2*SIN(2*RADIANS(F11))/$U$1,2)</f>
        <v>3.18</v>
      </c>
      <c r="N11" t="str">
        <f>IF(K11&gt;=1000,"CAO",IF(K11&gt;=300,"VUA","THAP"))</f>
        <v>CAO</v>
      </c>
      <c r="Y11" t="str">
        <v>So TN theo tieu chi W1:W2</v>
      </c>
      <c r="Z11">
        <f>DCOUNT(A1:N13,"CoNang",W1:W2)</f>
        <v>4</v>
      </c>
    </row>
    <row r="12">
      <c r="A12" t="str">
        <v>TN11</v>
      </c>
      <c r="B12" t="str">
        <v>NHOM</v>
      </c>
      <c r="C12">
        <v>7.5</v>
      </c>
      <c r="D12">
        <v>5</v>
      </c>
      <c r="E12">
        <v>27</v>
      </c>
      <c r="F12">
        <v>45</v>
      </c>
      <c r="G12">
        <f>VALUE(RIGHT(A12,2))</f>
        <v>11</v>
      </c>
      <c r="H12">
        <f>ROUND(C12/VLOOKUP(B12,$R$2:$S$5,2,FALSE)*1000,3)</f>
        <v>2.778</v>
      </c>
      <c r="I12">
        <f>ROUND(0.5*C12*POWER(D12,2),2)</f>
        <v>93.75</v>
      </c>
      <c r="J12">
        <f>ROUND(C12*$U$1*E12,2)</f>
        <v>1984.5</v>
      </c>
      <c r="K12">
        <f>ROUND(I12+J12,2)</f>
        <v>2078.25</v>
      </c>
      <c r="L12">
        <f>ROUND(SQRT(D12^2+2*$U$1*E12),2)</f>
        <v>23.54</v>
      </c>
      <c r="M12">
        <f>ROUND(D12^2*SIN(2*RADIANS(F12))/$U$1,2)</f>
        <v>2.55</v>
      </c>
      <c r="N12" t="str">
        <f>IF(K12&gt;=1000,"CAO",IF(K12&gt;=300,"VUA","THAP"))</f>
        <v>CAO</v>
      </c>
      <c r="Y12" t="str">
        <v>Tong CoNang muc CAO</v>
      </c>
      <c r="Z12">
        <f>SUMPRODUCT((N2:N13="CAO")*K2:K13)</f>
        <v>58436.600000000006</v>
      </c>
    </row>
    <row r="13">
      <c r="A13" t="str">
        <v>TN12</v>
      </c>
      <c r="B13" t="str">
        <v>GO</v>
      </c>
      <c r="C13">
        <v>7.5</v>
      </c>
      <c r="D13">
        <v>26</v>
      </c>
      <c r="E13">
        <v>24</v>
      </c>
      <c r="F13">
        <v>45</v>
      </c>
      <c r="G13">
        <f>VALUE(RIGHT(A13,2))</f>
        <v>12</v>
      </c>
      <c r="H13">
        <f>ROUND(C13/VLOOKUP(B13,$R$2:$S$5,2,FALSE)*1000,3)</f>
        <v>12.5</v>
      </c>
      <c r="I13">
        <f>ROUND(0.5*C13*POWER(D13,2),2)</f>
        <v>2535</v>
      </c>
      <c r="J13">
        <f>ROUND(C13*$U$1*E13,2)</f>
        <v>1764</v>
      </c>
      <c r="K13">
        <f>ROUND(I13+J13,2)</f>
        <v>4299</v>
      </c>
      <c r="L13">
        <f>ROUND(SQRT(D13^2+2*$U$1*E13),2)</f>
        <v>33.86</v>
      </c>
      <c r="M13">
        <f>ROUND(D13^2*SIN(2*RADIANS(F13))/$U$1,2)</f>
        <v>68.98</v>
      </c>
      <c r="N13" t="str">
        <f>IF(K13&gt;=1000,"CAO",IF(K13&gt;=300,"VUA","THAP"))</f>
        <v>CAO</v>
      </c>
      <c r="Y13" t="str">
        <v>Tong dong luong m x v</v>
      </c>
      <c r="Z13">
        <f>SUMPRODUCT(C2:C13,D2:D13)</f>
        <v>2189</v>
      </c>
    </row>
  </sheetData>
  <ignoredErrors>
    <ignoredError numberStoredAsText="1" sqref="A1:Z13"/>
  </ignoredErrors>
</worksheet>
</file>

<file path=xl/worksheets/sheet39.xml><?xml version="1.0" encoding="utf-8"?>
<worksheet xmlns="http://schemas.openxmlformats.org/spreadsheetml/2006/main" xmlns:r="http://schemas.openxmlformats.org/officeDocument/2006/relationships">
  <dimension ref="A1:E109"/>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v>1</v>
      </c>
      <c r="C2">
        <f>'ly'!G2</f>
      </c>
      <c r="D2">
        <f>IF(ISERROR(C2),LEFT(B2&amp;"",1)="#",IF(ISNUMBER(C2),AND(ISNUMBER(B2),ABS(C2-B2)&lt;=0.000001*MAX(1,ABS(B2))),EXACT(C2&amp;"",B2&amp;"")))</f>
      </c>
      <c r="E2">
        <f>ISERROR(C2)</f>
      </c>
    </row>
    <row r="3">
      <c r="A3" t="str">
        <v>G3</v>
      </c>
      <c r="B3">
        <v>2</v>
      </c>
      <c r="C3">
        <f>'ly'!G3</f>
      </c>
      <c r="D3">
        <f>IF(ISERROR(C3),LEFT(B3&amp;"",1)="#",IF(ISNUMBER(C3),AND(ISNUMBER(B3),ABS(C3-B3)&lt;=0.000001*MAX(1,ABS(B3))),EXACT(C3&amp;"",B3&amp;"")))</f>
      </c>
      <c r="E3">
        <f>ISERROR(C3)</f>
      </c>
    </row>
    <row r="4">
      <c r="A4" t="str">
        <v>G4</v>
      </c>
      <c r="B4">
        <v>3</v>
      </c>
      <c r="C4">
        <f>'ly'!G4</f>
      </c>
      <c r="D4">
        <f>IF(ISERROR(C4),LEFT(B4&amp;"",1)="#",IF(ISNUMBER(C4),AND(ISNUMBER(B4),ABS(C4-B4)&lt;=0.000001*MAX(1,ABS(B4))),EXACT(C4&amp;"",B4&amp;"")))</f>
      </c>
      <c r="E4">
        <f>ISERROR(C4)</f>
      </c>
    </row>
    <row r="5">
      <c r="A5" t="str">
        <v>G5</v>
      </c>
      <c r="B5">
        <v>4</v>
      </c>
      <c r="C5">
        <f>'ly'!G5</f>
      </c>
      <c r="D5">
        <f>IF(ISERROR(C5),LEFT(B5&amp;"",1)="#",IF(ISNUMBER(C5),AND(ISNUMBER(B5),ABS(C5-B5)&lt;=0.000001*MAX(1,ABS(B5))),EXACT(C5&amp;"",B5&amp;"")))</f>
      </c>
      <c r="E5">
        <f>ISERROR(C5)</f>
      </c>
    </row>
    <row r="6">
      <c r="A6" t="str">
        <v>G6</v>
      </c>
      <c r="B6">
        <v>5</v>
      </c>
      <c r="C6">
        <f>'ly'!G6</f>
      </c>
      <c r="D6">
        <f>IF(ISERROR(C6),LEFT(B6&amp;"",1)="#",IF(ISNUMBER(C6),AND(ISNUMBER(B6),ABS(C6-B6)&lt;=0.000001*MAX(1,ABS(B6))),EXACT(C6&amp;"",B6&amp;"")))</f>
      </c>
      <c r="E6">
        <f>ISERROR(C6)</f>
      </c>
    </row>
    <row r="7">
      <c r="A7" t="str">
        <v>G7</v>
      </c>
      <c r="B7">
        <v>6</v>
      </c>
      <c r="C7">
        <f>'ly'!G7</f>
      </c>
      <c r="D7">
        <f>IF(ISERROR(C7),LEFT(B7&amp;"",1)="#",IF(ISNUMBER(C7),AND(ISNUMBER(B7),ABS(C7-B7)&lt;=0.000001*MAX(1,ABS(B7))),EXACT(C7&amp;"",B7&amp;"")))</f>
      </c>
      <c r="E7">
        <f>ISERROR(C7)</f>
      </c>
    </row>
    <row r="8">
      <c r="A8" t="str">
        <v>G8</v>
      </c>
      <c r="B8">
        <v>7</v>
      </c>
      <c r="C8">
        <f>'ly'!G8</f>
      </c>
      <c r="D8">
        <f>IF(ISERROR(C8),LEFT(B8&amp;"",1)="#",IF(ISNUMBER(C8),AND(ISNUMBER(B8),ABS(C8-B8)&lt;=0.000001*MAX(1,ABS(B8))),EXACT(C8&amp;"",B8&amp;"")))</f>
      </c>
      <c r="E8">
        <f>ISERROR(C8)</f>
      </c>
    </row>
    <row r="9">
      <c r="A9" t="str">
        <v>G9</v>
      </c>
      <c r="B9">
        <v>8</v>
      </c>
      <c r="C9">
        <f>'ly'!G9</f>
      </c>
      <c r="D9">
        <f>IF(ISERROR(C9),LEFT(B9&amp;"",1)="#",IF(ISNUMBER(C9),AND(ISNUMBER(B9),ABS(C9-B9)&lt;=0.000001*MAX(1,ABS(B9))),EXACT(C9&amp;"",B9&amp;"")))</f>
      </c>
      <c r="E9">
        <f>ISERROR(C9)</f>
      </c>
    </row>
    <row r="10">
      <c r="A10" t="str">
        <v>G10</v>
      </c>
      <c r="B10">
        <v>9</v>
      </c>
      <c r="C10">
        <f>'ly'!G10</f>
      </c>
      <c r="D10">
        <f>IF(ISERROR(C10),LEFT(B10&amp;"",1)="#",IF(ISNUMBER(C10),AND(ISNUMBER(B10),ABS(C10-B10)&lt;=0.000001*MAX(1,ABS(B10))),EXACT(C10&amp;"",B10&amp;"")))</f>
      </c>
      <c r="E10">
        <f>ISERROR(C10)</f>
      </c>
    </row>
    <row r="11">
      <c r="A11" t="str">
        <v>G11</v>
      </c>
      <c r="B11">
        <v>10</v>
      </c>
      <c r="C11">
        <f>'ly'!G11</f>
      </c>
      <c r="D11">
        <f>IF(ISERROR(C11),LEFT(B11&amp;"",1)="#",IF(ISNUMBER(C11),AND(ISNUMBER(B11),ABS(C11-B11)&lt;=0.000001*MAX(1,ABS(B11))),EXACT(C11&amp;"",B11&amp;"")))</f>
      </c>
      <c r="E11">
        <f>ISERROR(C11)</f>
      </c>
    </row>
    <row r="12">
      <c r="A12" t="str">
        <v>G12</v>
      </c>
      <c r="B12">
        <v>11</v>
      </c>
      <c r="C12">
        <f>'ly'!G12</f>
      </c>
      <c r="D12">
        <f>IF(ISERROR(C12),LEFT(B12&amp;"",1)="#",IF(ISNUMBER(C12),AND(ISNUMBER(B12),ABS(C12-B12)&lt;=0.000001*MAX(1,ABS(B12))),EXACT(C12&amp;"",B12&amp;"")))</f>
      </c>
      <c r="E12">
        <f>ISERROR(C12)</f>
      </c>
    </row>
    <row r="13">
      <c r="A13" t="str">
        <v>G13</v>
      </c>
      <c r="B13">
        <v>12</v>
      </c>
      <c r="C13">
        <f>'ly'!G13</f>
      </c>
      <c r="D13">
        <f>IF(ISERROR(C13),LEFT(B13&amp;"",1)="#",IF(ISNUMBER(C13),AND(ISNUMBER(B13),ABS(C13-B13)&lt;=0.000001*MAX(1,ABS(B13))),EXACT(C13&amp;"",B13&amp;"")))</f>
      </c>
      <c r="E13">
        <f>ISERROR(C13)</f>
      </c>
    </row>
    <row r="14">
      <c r="A14" t="str">
        <v>H2</v>
      </c>
      <c r="B14">
        <v>1.795</v>
      </c>
      <c r="C14">
        <f>'ly'!H2</f>
      </c>
      <c r="D14">
        <f>IF(ISERROR(C14),LEFT(B14&amp;"",1)="#",IF(ISNUMBER(C14),AND(ISNUMBER(B14),ABS(C14-B14)&lt;=0.000001*MAX(1,ABS(B14))),EXACT(C14&amp;"",B14&amp;"")))</f>
      </c>
      <c r="E14">
        <f>ISERROR(C14)</f>
      </c>
    </row>
    <row r="15">
      <c r="A15" t="str">
        <v>H3</v>
      </c>
      <c r="B15">
        <v>1.667</v>
      </c>
      <c r="C15">
        <f>'ly'!H3</f>
      </c>
      <c r="D15">
        <f>IF(ISERROR(C15),LEFT(B15&amp;"",1)="#",IF(ISNUMBER(C15),AND(ISNUMBER(B15),ABS(C15-B15)&lt;=0.000001*MAX(1,ABS(B15))),EXACT(C15&amp;"",B15&amp;"")))</f>
      </c>
      <c r="E15">
        <f>ISERROR(C15)</f>
      </c>
    </row>
    <row r="16">
      <c r="A16" t="str">
        <v>H4</v>
      </c>
      <c r="B16">
        <v>10.833</v>
      </c>
      <c r="C16">
        <f>'ly'!H4</f>
      </c>
      <c r="D16">
        <f>IF(ISERROR(C16),LEFT(B16&amp;"",1)="#",IF(ISNUMBER(C16),AND(ISNUMBER(B16),ABS(C16-B16)&lt;=0.000001*MAX(1,ABS(B16))),EXACT(C16&amp;"",B16&amp;"")))</f>
      </c>
      <c r="E16">
        <f>ISERROR(C16)</f>
      </c>
    </row>
    <row r="17">
      <c r="A17" t="str">
        <v>H5</v>
      </c>
      <c r="B17">
        <v>0.837</v>
      </c>
      <c r="C17">
        <f>'ly'!H5</f>
      </c>
      <c r="D17">
        <f>IF(ISERROR(C17),LEFT(B17&amp;"",1)="#",IF(ISNUMBER(C17),AND(ISNUMBER(B17),ABS(C17-B17)&lt;=0.000001*MAX(1,ABS(B17))),EXACT(C17&amp;"",B17&amp;"")))</f>
      </c>
      <c r="E17">
        <f>ISERROR(C17)</f>
      </c>
    </row>
    <row r="18">
      <c r="A18" t="str">
        <v>H6</v>
      </c>
      <c r="B18">
        <v>2.051</v>
      </c>
      <c r="C18">
        <f>'ly'!H6</f>
      </c>
      <c r="D18">
        <f>IF(ISERROR(C18),LEFT(B18&amp;"",1)="#",IF(ISNUMBER(C18),AND(ISNUMBER(B18),ABS(C18-B18)&lt;=0.000001*MAX(1,ABS(B18))),EXACT(C18&amp;"",B18&amp;"")))</f>
      </c>
      <c r="E18">
        <f>ISERROR(C18)</f>
      </c>
    </row>
    <row r="19">
      <c r="A19" t="str">
        <v>H7</v>
      </c>
      <c r="B19">
        <v>0.558</v>
      </c>
      <c r="C19">
        <f>'ly'!H7</f>
      </c>
      <c r="D19">
        <f>IF(ISERROR(C19),LEFT(B19&amp;"",1)="#",IF(ISNUMBER(C19),AND(ISNUMBER(B19),ABS(C19-B19)&lt;=0.000001*MAX(1,ABS(B19))),EXACT(C19&amp;"",B19&amp;"")))</f>
      </c>
      <c r="E19">
        <f>ISERROR(C19)</f>
      </c>
    </row>
    <row r="20">
      <c r="A20" t="str">
        <v>H8</v>
      </c>
      <c r="B20">
        <v>0.641</v>
      </c>
      <c r="C20">
        <f>'ly'!H8</f>
      </c>
      <c r="D20">
        <f>IF(ISERROR(C20),LEFT(B20&amp;"",1)="#",IF(ISNUMBER(C20),AND(ISNUMBER(B20),ABS(C20-B20)&lt;=0.000001*MAX(1,ABS(B20))),EXACT(C20&amp;"",B20&amp;"")))</f>
      </c>
      <c r="E20">
        <f>ISERROR(C20)</f>
      </c>
    </row>
    <row r="21">
      <c r="A21" t="str">
        <v>H9</v>
      </c>
      <c r="B21">
        <v>28.333</v>
      </c>
      <c r="C21">
        <f>'ly'!H9</f>
      </c>
      <c r="D21">
        <f>IF(ISERROR(C21),LEFT(B21&amp;"",1)="#",IF(ISNUMBER(C21),AND(ISNUMBER(B21),ABS(C21-B21)&lt;=0.000001*MAX(1,ABS(B21))),EXACT(C21&amp;"",B21&amp;"")))</f>
      </c>
      <c r="E21">
        <f>ISERROR(C21)</f>
      </c>
    </row>
    <row r="22">
      <c r="A22" t="str">
        <v>H10</v>
      </c>
      <c r="B22">
        <v>6.852</v>
      </c>
      <c r="C22">
        <f>'ly'!H10</f>
      </c>
      <c r="D22">
        <f>IF(ISERROR(C22),LEFT(B22&amp;"",1)="#",IF(ISNUMBER(C22),AND(ISNUMBER(B22),ABS(C22-B22)&lt;=0.000001*MAX(1,ABS(B22))),EXACT(C22&amp;"",B22&amp;"")))</f>
      </c>
      <c r="E22">
        <f>ISERROR(C22)</f>
      </c>
    </row>
    <row r="23">
      <c r="A23" t="str">
        <v>H11</v>
      </c>
      <c r="B23">
        <v>1.667</v>
      </c>
      <c r="C23">
        <f>'ly'!H11</f>
      </c>
      <c r="D23">
        <f>IF(ISERROR(C23),LEFT(B23&amp;"",1)="#",IF(ISNUMBER(C23),AND(ISNUMBER(B23),ABS(C23-B23)&lt;=0.000001*MAX(1,ABS(B23))),EXACT(C23&amp;"",B23&amp;"")))</f>
      </c>
      <c r="E23">
        <f>ISERROR(C23)</f>
      </c>
    </row>
    <row r="24">
      <c r="A24" t="str">
        <v>H12</v>
      </c>
      <c r="B24">
        <v>2.778</v>
      </c>
      <c r="C24">
        <f>'ly'!H12</f>
      </c>
      <c r="D24">
        <f>IF(ISERROR(C24),LEFT(B24&amp;"",1)="#",IF(ISNUMBER(C24),AND(ISNUMBER(B24),ABS(C24-B24)&lt;=0.000001*MAX(1,ABS(B24))),EXACT(C24&amp;"",B24&amp;"")))</f>
      </c>
      <c r="E24">
        <f>ISERROR(C24)</f>
      </c>
    </row>
    <row r="25">
      <c r="A25" t="str">
        <v>H13</v>
      </c>
      <c r="B25">
        <v>12.5</v>
      </c>
      <c r="C25">
        <f>'ly'!H13</f>
      </c>
      <c r="D25">
        <f>IF(ISERROR(C25),LEFT(B25&amp;"",1)="#",IF(ISNUMBER(C25),AND(ISNUMBER(B25),ABS(C25-B25)&lt;=0.000001*MAX(1,ABS(B25))),EXACT(C25&amp;"",B25&amp;"")))</f>
      </c>
      <c r="E25">
        <f>ISERROR(C25)</f>
      </c>
    </row>
    <row r="26">
      <c r="A26" t="str">
        <v>I2</v>
      </c>
      <c r="B26">
        <v>1372</v>
      </c>
      <c r="C26">
        <f>'ly'!I2</f>
      </c>
      <c r="D26">
        <f>IF(ISERROR(C26),LEFT(B26&amp;"",1)="#",IF(ISNUMBER(C26),AND(ISNUMBER(B26),ABS(C26-B26)&lt;=0.000001*MAX(1,ABS(B26))),EXACT(C26&amp;"",B26&amp;"")))</f>
      </c>
      <c r="E26">
        <f>ISERROR(C26)</f>
      </c>
    </row>
    <row r="27">
      <c r="A27" t="str">
        <v>I3</v>
      </c>
      <c r="B27">
        <v>1640.25</v>
      </c>
      <c r="C27">
        <f>'ly'!I3</f>
      </c>
      <c r="D27">
        <f>IF(ISERROR(C27),LEFT(B27&amp;"",1)="#",IF(ISNUMBER(C27),AND(ISNUMBER(B27),ABS(C27-B27)&lt;=0.000001*MAX(1,ABS(B27))),EXACT(C27&amp;"",B27&amp;"")))</f>
      </c>
      <c r="E27">
        <f>ISERROR(C27)</f>
      </c>
    </row>
    <row r="28">
      <c r="A28" t="str">
        <v>I4</v>
      </c>
      <c r="B28">
        <v>1573</v>
      </c>
      <c r="C28">
        <f>'ly'!I4</f>
      </c>
      <c r="D28">
        <f>IF(ISERROR(C28),LEFT(B28&amp;"",1)="#",IF(ISNUMBER(C28),AND(ISNUMBER(B28),ABS(C28-B28)&lt;=0.000001*MAX(1,ABS(B28))),EXACT(C28&amp;"",B28&amp;"")))</f>
      </c>
      <c r="E28">
        <f>ISERROR(C28)</f>
      </c>
    </row>
    <row r="29">
      <c r="A29" t="str">
        <v>I5</v>
      </c>
      <c r="B29">
        <v>2535</v>
      </c>
      <c r="C29">
        <f>'ly'!I5</f>
      </c>
      <c r="D29">
        <f>IF(ISERROR(C29),LEFT(B29&amp;"",1)="#",IF(ISNUMBER(C29),AND(ISNUMBER(B29),ABS(C29-B29)&lt;=0.000001*MAX(1,ABS(B29))),EXACT(C29&amp;"",B29&amp;"")))</f>
      </c>
      <c r="E29">
        <f>ISERROR(C29)</f>
      </c>
    </row>
    <row r="30">
      <c r="A30" t="str">
        <v>I6</v>
      </c>
      <c r="B30">
        <v>5832</v>
      </c>
      <c r="C30">
        <f>'ly'!I6</f>
      </c>
      <c r="D30">
        <f>IF(ISERROR(C30),LEFT(B30&amp;"",1)="#",IF(ISNUMBER(C30),AND(ISNUMBER(B30),ABS(C30-B30)&lt;=0.000001*MAX(1,ABS(B30))),EXACT(C30&amp;"",B30&amp;"")))</f>
      </c>
      <c r="E30">
        <f>ISERROR(C30)</f>
      </c>
    </row>
    <row r="31">
      <c r="A31" t="str">
        <v>I7</v>
      </c>
      <c r="B31">
        <v>562.5</v>
      </c>
      <c r="C31">
        <f>'ly'!I7</f>
      </c>
      <c r="D31">
        <f>IF(ISERROR(C31),LEFT(B31&amp;"",1)="#",IF(ISNUMBER(C31),AND(ISNUMBER(B31),ABS(C31-B31)&lt;=0.000001*MAX(1,ABS(B31))),EXACT(C31&amp;"",B31&amp;"")))</f>
      </c>
      <c r="E31">
        <f>ISERROR(C31)</f>
      </c>
    </row>
    <row r="32">
      <c r="A32" t="str">
        <v>I8</v>
      </c>
      <c r="B32">
        <v>562.5</v>
      </c>
      <c r="C32">
        <f>'ly'!I8</f>
      </c>
      <c r="D32">
        <f>IF(ISERROR(C32),LEFT(B32&amp;"",1)="#",IF(ISNUMBER(C32),AND(ISNUMBER(B32),ABS(C32-B32)&lt;=0.000001*MAX(1,ABS(B32))),EXACT(C32&amp;"",B32&amp;"")))</f>
      </c>
      <c r="E32">
        <f>ISERROR(C32)</f>
      </c>
    </row>
    <row r="33">
      <c r="A33" t="str">
        <v>I9</v>
      </c>
      <c r="B33">
        <v>7148.5</v>
      </c>
      <c r="C33">
        <f>'ly'!I9</f>
      </c>
      <c r="D33">
        <f>IF(ISERROR(C33),LEFT(B33&amp;"",1)="#",IF(ISNUMBER(C33),AND(ISNUMBER(B33),ABS(C33-B33)&lt;=0.000001*MAX(1,ABS(B33))),EXACT(C33&amp;"",B33&amp;"")))</f>
      </c>
      <c r="E33">
        <f>ISERROR(C33)</f>
      </c>
    </row>
    <row r="34">
      <c r="A34" t="str">
        <v>I10</v>
      </c>
      <c r="B34">
        <v>592</v>
      </c>
      <c r="C34">
        <f>'ly'!I10</f>
      </c>
      <c r="D34">
        <f>IF(ISERROR(C34),LEFT(B34&amp;"",1)="#",IF(ISNUMBER(C34),AND(ISNUMBER(B34),ABS(C34-B34)&lt;=0.000001*MAX(1,ABS(B34))),EXACT(C34&amp;"",B34&amp;"")))</f>
      </c>
      <c r="E34">
        <f>ISERROR(C34)</f>
      </c>
    </row>
    <row r="35">
      <c r="A35" t="str">
        <v>I11</v>
      </c>
      <c r="B35">
        <v>234</v>
      </c>
      <c r="C35">
        <f>'ly'!I11</f>
      </c>
      <c r="D35">
        <f>IF(ISERROR(C35),LEFT(B35&amp;"",1)="#",IF(ISNUMBER(C35),AND(ISNUMBER(B35),ABS(C35-B35)&lt;=0.000001*MAX(1,ABS(B35))),EXACT(C35&amp;"",B35&amp;"")))</f>
      </c>
      <c r="E35">
        <f>ISERROR(C35)</f>
      </c>
    </row>
    <row r="36">
      <c r="A36" t="str">
        <v>I12</v>
      </c>
      <c r="B36">
        <v>93.75</v>
      </c>
      <c r="C36">
        <f>'ly'!I12</f>
      </c>
      <c r="D36">
        <f>IF(ISERROR(C36),LEFT(B36&amp;"",1)="#",IF(ISNUMBER(C36),AND(ISNUMBER(B36),ABS(C36-B36)&lt;=0.000001*MAX(1,ABS(B36))),EXACT(C36&amp;"",B36&amp;"")))</f>
      </c>
      <c r="E36">
        <f>ISERROR(C36)</f>
      </c>
    </row>
    <row r="37">
      <c r="A37" t="str">
        <v>I13</v>
      </c>
      <c r="B37">
        <v>2535</v>
      </c>
      <c r="C37">
        <f>'ly'!I13</f>
      </c>
      <c r="D37">
        <f>IF(ISERROR(C37),LEFT(B37&amp;"",1)="#",IF(ISNUMBER(C37),AND(ISNUMBER(B37),ABS(C37-B37)&lt;=0.000001*MAX(1,ABS(B37))),EXACT(C37&amp;"",B37&amp;"")))</f>
      </c>
      <c r="E37">
        <f>ISERROR(C37)</f>
      </c>
    </row>
    <row r="38">
      <c r="A38" t="str">
        <v>J2</v>
      </c>
      <c r="B38">
        <v>3430</v>
      </c>
      <c r="C38">
        <f>'ly'!J2</f>
      </c>
      <c r="D38">
        <f>IF(ISERROR(C38),LEFT(B38&amp;"",1)="#",IF(ISNUMBER(C38),AND(ISNUMBER(B38),ABS(C38-B38)&lt;=0.000001*MAX(1,ABS(B38))),EXACT(C38&amp;"",B38&amp;"")))</f>
      </c>
      <c r="E38">
        <f>ISERROR(C38)</f>
      </c>
    </row>
    <row r="39">
      <c r="A39" t="str">
        <v>J3</v>
      </c>
      <c r="B39">
        <v>44.1</v>
      </c>
      <c r="C39">
        <f>'ly'!J3</f>
      </c>
      <c r="D39">
        <f>IF(ISERROR(C39),LEFT(B39&amp;"",1)="#",IF(ISNUMBER(C39),AND(ISNUMBER(B39),ABS(C39-B39)&lt;=0.000001*MAX(1,ABS(B39))),EXACT(C39&amp;"",B39&amp;"")))</f>
      </c>
      <c r="E39">
        <f>ISERROR(C39)</f>
      </c>
    </row>
    <row r="40">
      <c r="A40" t="str">
        <v>J4</v>
      </c>
      <c r="B40">
        <v>2038.4</v>
      </c>
      <c r="C40">
        <f>'ly'!J4</f>
      </c>
      <c r="D40">
        <f>IF(ISERROR(C40),LEFT(B40&amp;"",1)="#",IF(ISNUMBER(C40),AND(ISNUMBER(B40),ABS(C40-B40)&lt;=0.000001*MAX(1,ABS(B40))),EXACT(C40&amp;"",B40&amp;"")))</f>
      </c>
      <c r="E40">
        <f>ISERROR(C40)</f>
      </c>
    </row>
    <row r="41">
      <c r="A41" t="str">
        <v>J5</v>
      </c>
      <c r="B41">
        <v>2866.5</v>
      </c>
      <c r="C41">
        <f>'ly'!J5</f>
      </c>
      <c r="D41">
        <f>IF(ISERROR(C41),LEFT(B41&amp;"",1)="#",IF(ISNUMBER(C41),AND(ISNUMBER(B41),ABS(C41-B41)&lt;=0.000001*MAX(1,ABS(B41))),EXACT(C41&amp;"",B41&amp;"")))</f>
      </c>
      <c r="E41">
        <f>ISERROR(C41)</f>
      </c>
    </row>
    <row r="42">
      <c r="A42" t="str">
        <v>J6</v>
      </c>
      <c r="B42">
        <v>1881.6</v>
      </c>
      <c r="C42">
        <f>'ly'!J6</f>
      </c>
      <c r="D42">
        <f>IF(ISERROR(C42),LEFT(B42&amp;"",1)="#",IF(ISNUMBER(C42),AND(ISNUMBER(B42),ABS(C42-B42)&lt;=0.000001*MAX(1,ABS(B42))),EXACT(C42&amp;"",B42&amp;"")))</f>
      </c>
      <c r="E42">
        <f>ISERROR(C42)</f>
      </c>
    </row>
    <row r="43">
      <c r="A43" t="str">
        <v>J7</v>
      </c>
      <c r="B43">
        <v>784</v>
      </c>
      <c r="C43">
        <f>'ly'!J7</f>
      </c>
      <c r="D43">
        <f>IF(ISERROR(C43),LEFT(B43&amp;"",1)="#",IF(ISNUMBER(C43),AND(ISNUMBER(B43),ABS(C43-B43)&lt;=0.000001*MAX(1,ABS(B43))),EXACT(C43&amp;"",B43&amp;"")))</f>
      </c>
      <c r="E43">
        <f>ISERROR(C43)</f>
      </c>
    </row>
    <row r="44">
      <c r="A44" t="str">
        <v>J8</v>
      </c>
      <c r="B44">
        <v>2156</v>
      </c>
      <c r="C44">
        <f>'ly'!J8</f>
      </c>
      <c r="D44">
        <f>IF(ISERROR(C44),LEFT(B44&amp;"",1)="#",IF(ISNUMBER(C44),AND(ISNUMBER(B44),ABS(C44-B44)&lt;=0.000001*MAX(1,ABS(B44))),EXACT(C44&amp;"",B44&amp;"")))</f>
      </c>
      <c r="E44">
        <f>ISERROR(C44)</f>
      </c>
    </row>
    <row r="45">
      <c r="A45" t="str">
        <v>J9</v>
      </c>
      <c r="B45">
        <v>7830.2</v>
      </c>
      <c r="C45">
        <f>'ly'!J9</f>
      </c>
      <c r="D45">
        <f>IF(ISERROR(C45),LEFT(B45&amp;"",1)="#",IF(ISNUMBER(C45),AND(ISNUMBER(B45),ABS(C45-B45)&lt;=0.000001*MAX(1,ABS(B45))),EXACT(C45&amp;"",B45&amp;"")))</f>
      </c>
      <c r="E45">
        <f>ISERROR(C45)</f>
      </c>
    </row>
    <row r="46">
      <c r="A46" t="str">
        <v>J10</v>
      </c>
      <c r="B46">
        <v>3626</v>
      </c>
      <c r="C46">
        <f>'ly'!J10</f>
      </c>
      <c r="D46">
        <f>IF(ISERROR(C46),LEFT(B46&amp;"",1)="#",IF(ISNUMBER(C46),AND(ISNUMBER(B46),ABS(C46-B46)&lt;=0.000001*MAX(1,ABS(B46))),EXACT(C46&amp;"",B46&amp;"")))</f>
      </c>
      <c r="E46">
        <f>ISERROR(C46)</f>
      </c>
    </row>
    <row r="47">
      <c r="A47" t="str">
        <v>J11</v>
      </c>
      <c r="B47">
        <v>5350.8</v>
      </c>
      <c r="C47">
        <f>'ly'!J11</f>
      </c>
      <c r="D47">
        <f>IF(ISERROR(C47),LEFT(B47&amp;"",1)="#",IF(ISNUMBER(C47),AND(ISNUMBER(B47),ABS(C47-B47)&lt;=0.000001*MAX(1,ABS(B47))),EXACT(C47&amp;"",B47&amp;"")))</f>
      </c>
      <c r="E47">
        <f>ISERROR(C47)</f>
      </c>
    </row>
    <row r="48">
      <c r="A48" t="str">
        <v>J12</v>
      </c>
      <c r="B48">
        <v>1984.5</v>
      </c>
      <c r="C48">
        <f>'ly'!J12</f>
      </c>
      <c r="D48">
        <f>IF(ISERROR(C48),LEFT(B48&amp;"",1)="#",IF(ISNUMBER(C48),AND(ISNUMBER(B48),ABS(C48-B48)&lt;=0.000001*MAX(1,ABS(B48))),EXACT(C48&amp;"",B48&amp;"")))</f>
      </c>
      <c r="E48">
        <f>ISERROR(C48)</f>
      </c>
    </row>
    <row r="49">
      <c r="A49" t="str">
        <v>J13</v>
      </c>
      <c r="B49">
        <v>1764</v>
      </c>
      <c r="C49">
        <f>'ly'!J13</f>
      </c>
      <c r="D49">
        <f>IF(ISERROR(C49),LEFT(B49&amp;"",1)="#",IF(ISNUMBER(C49),AND(ISNUMBER(B49),ABS(C49-B49)&lt;=0.000001*MAX(1,ABS(B49))),EXACT(C49&amp;"",B49&amp;"")))</f>
      </c>
      <c r="E49">
        <f>ISERROR(C49)</f>
      </c>
    </row>
    <row r="50">
      <c r="A50" t="str">
        <v>K2</v>
      </c>
      <c r="B50">
        <v>4802</v>
      </c>
      <c r="C50">
        <f>'ly'!K2</f>
      </c>
      <c r="D50">
        <f>IF(ISERROR(C50),LEFT(B50&amp;"",1)="#",IF(ISNUMBER(C50),AND(ISNUMBER(B50),ABS(C50-B50)&lt;=0.000001*MAX(1,ABS(B50))),EXACT(C50&amp;"",B50&amp;"")))</f>
      </c>
      <c r="E50">
        <f>ISERROR(C50)</f>
      </c>
    </row>
    <row r="51">
      <c r="A51" t="str">
        <v>K3</v>
      </c>
      <c r="B51">
        <v>1684.35</v>
      </c>
      <c r="C51">
        <f>'ly'!K3</f>
      </c>
      <c r="D51">
        <f>IF(ISERROR(C51),LEFT(B51&amp;"",1)="#",IF(ISNUMBER(C51),AND(ISNUMBER(B51),ABS(C51-B51)&lt;=0.000001*MAX(1,ABS(B51))),EXACT(C51&amp;"",B51&amp;"")))</f>
      </c>
      <c r="E51">
        <f>ISERROR(C51)</f>
      </c>
    </row>
    <row r="52">
      <c r="A52" t="str">
        <v>K4</v>
      </c>
      <c r="B52">
        <v>3611.4</v>
      </c>
      <c r="C52">
        <f>'ly'!K4</f>
      </c>
      <c r="D52">
        <f>IF(ISERROR(C52),LEFT(B52&amp;"",1)="#",IF(ISNUMBER(C52),AND(ISNUMBER(B52),ABS(C52-B52)&lt;=0.000001*MAX(1,ABS(B52))),EXACT(C52&amp;"",B52&amp;"")))</f>
      </c>
      <c r="E52">
        <f>ISERROR(C52)</f>
      </c>
    </row>
    <row r="53">
      <c r="A53" t="str">
        <v>K5</v>
      </c>
      <c r="B53">
        <v>5401.5</v>
      </c>
      <c r="C53">
        <f>'ly'!K5</f>
      </c>
      <c r="D53">
        <f>IF(ISERROR(C53),LEFT(B53&amp;"",1)="#",IF(ISNUMBER(C53),AND(ISNUMBER(B53),ABS(C53-B53)&lt;=0.000001*MAX(1,ABS(B53))),EXACT(C53&amp;"",B53&amp;"")))</f>
      </c>
      <c r="E53">
        <f>ISERROR(C53)</f>
      </c>
    </row>
    <row r="54">
      <c r="A54" t="str">
        <v>K6</v>
      </c>
      <c r="B54">
        <v>7713.6</v>
      </c>
      <c r="C54">
        <f>'ly'!K6</f>
      </c>
      <c r="D54">
        <f>IF(ISERROR(C54),LEFT(B54&amp;"",1)="#",IF(ISNUMBER(C54),AND(ISNUMBER(B54),ABS(C54-B54)&lt;=0.000001*MAX(1,ABS(B54))),EXACT(C54&amp;"",B54&amp;"")))</f>
      </c>
      <c r="E54">
        <f>ISERROR(C54)</f>
      </c>
    </row>
    <row r="55">
      <c r="A55" t="str">
        <v>K7</v>
      </c>
      <c r="B55">
        <v>1346.5</v>
      </c>
      <c r="C55">
        <f>'ly'!K7</f>
      </c>
      <c r="D55">
        <f>IF(ISERROR(C55),LEFT(B55&amp;"",1)="#",IF(ISNUMBER(C55),AND(ISNUMBER(B55),ABS(C55-B55)&lt;=0.000001*MAX(1,ABS(B55))),EXACT(C55&amp;"",B55&amp;"")))</f>
      </c>
      <c r="E55">
        <f>ISERROR(C55)</f>
      </c>
    </row>
    <row r="56">
      <c r="A56" t="str">
        <v>K8</v>
      </c>
      <c r="B56">
        <v>2718.5</v>
      </c>
      <c r="C56">
        <f>'ly'!K8</f>
      </c>
      <c r="D56">
        <f>IF(ISERROR(C56),LEFT(B56&amp;"",1)="#",IF(ISNUMBER(C56),AND(ISNUMBER(B56),ABS(C56-B56)&lt;=0.000001*MAX(1,ABS(B56))),EXACT(C56&amp;"",B56&amp;"")))</f>
      </c>
      <c r="E56">
        <f>ISERROR(C56)</f>
      </c>
    </row>
    <row r="57">
      <c r="A57" t="str">
        <v>K9</v>
      </c>
      <c r="B57">
        <v>14978.7</v>
      </c>
      <c r="C57">
        <f>'ly'!K9</f>
      </c>
      <c r="D57">
        <f>IF(ISERROR(C57),LEFT(B57&amp;"",1)="#",IF(ISNUMBER(C57),AND(ISNUMBER(B57),ABS(C57-B57)&lt;=0.000001*MAX(1,ABS(B57))),EXACT(C57&amp;"",B57&amp;"")))</f>
      </c>
      <c r="E57">
        <f>ISERROR(C57)</f>
      </c>
    </row>
    <row r="58">
      <c r="A58" t="str">
        <v>K10</v>
      </c>
      <c r="B58">
        <v>4218</v>
      </c>
      <c r="C58">
        <f>'ly'!K10</f>
      </c>
      <c r="D58">
        <f>IF(ISERROR(C58),LEFT(B58&amp;"",1)="#",IF(ISNUMBER(C58),AND(ISNUMBER(B58),ABS(C58-B58)&lt;=0.000001*MAX(1,ABS(B58))),EXACT(C58&amp;"",B58&amp;"")))</f>
      </c>
      <c r="E58">
        <f>ISERROR(C58)</f>
      </c>
    </row>
    <row r="59">
      <c r="A59" t="str">
        <v>K11</v>
      </c>
      <c r="B59">
        <v>5584.8</v>
      </c>
      <c r="C59">
        <f>'ly'!K11</f>
      </c>
      <c r="D59">
        <f>IF(ISERROR(C59),LEFT(B59&amp;"",1)="#",IF(ISNUMBER(C59),AND(ISNUMBER(B59),ABS(C59-B59)&lt;=0.000001*MAX(1,ABS(B59))),EXACT(C59&amp;"",B59&amp;"")))</f>
      </c>
      <c r="E59">
        <f>ISERROR(C59)</f>
      </c>
    </row>
    <row r="60">
      <c r="A60" t="str">
        <v>K12</v>
      </c>
      <c r="B60">
        <v>2078.25</v>
      </c>
      <c r="C60">
        <f>'ly'!K12</f>
      </c>
      <c r="D60">
        <f>IF(ISERROR(C60),LEFT(B60&amp;"",1)="#",IF(ISNUMBER(C60),AND(ISNUMBER(B60),ABS(C60-B60)&lt;=0.000001*MAX(1,ABS(B60))),EXACT(C60&amp;"",B60&amp;"")))</f>
      </c>
      <c r="E60">
        <f>ISERROR(C60)</f>
      </c>
    </row>
    <row r="61">
      <c r="A61" t="str">
        <v>K13</v>
      </c>
      <c r="B61">
        <v>4299</v>
      </c>
      <c r="C61">
        <f>'ly'!K13</f>
      </c>
      <c r="D61">
        <f>IF(ISERROR(C61),LEFT(B61&amp;"",1)="#",IF(ISNUMBER(C61),AND(ISNUMBER(B61),ABS(C61-B61)&lt;=0.000001*MAX(1,ABS(B61))),EXACT(C61&amp;"",B61&amp;"")))</f>
      </c>
      <c r="E61">
        <f>ISERROR(C61)</f>
      </c>
    </row>
    <row r="62">
      <c r="A62" t="str">
        <v>L2</v>
      </c>
      <c r="B62">
        <v>26.19</v>
      </c>
      <c r="C62">
        <f>'ly'!L2</f>
      </c>
      <c r="D62">
        <f>IF(ISERROR(C62),LEFT(B62&amp;"",1)="#",IF(ISNUMBER(C62),AND(ISNUMBER(B62),ABS(C62-B62)&lt;=0.000001*MAX(1,ABS(B62))),EXACT(C62&amp;"",B62&amp;"")))</f>
      </c>
      <c r="E62">
        <f>ISERROR(C62)</f>
      </c>
    </row>
    <row r="63">
      <c r="A63" t="str">
        <v>L3</v>
      </c>
      <c r="B63">
        <v>27.36</v>
      </c>
      <c r="C63">
        <f>'ly'!L3</f>
      </c>
      <c r="D63">
        <f>IF(ISERROR(C63),LEFT(B63&amp;"",1)="#",IF(ISNUMBER(C63),AND(ISNUMBER(B63),ABS(C63-B63)&lt;=0.000001*MAX(1,ABS(B63))),EXACT(C63&amp;"",B63&amp;"")))</f>
      </c>
      <c r="E63">
        <f>ISERROR(C63)</f>
      </c>
    </row>
    <row r="64">
      <c r="A64" t="str">
        <v>L4</v>
      </c>
      <c r="B64">
        <v>33.33</v>
      </c>
      <c r="C64">
        <f>'ly'!L4</f>
      </c>
      <c r="D64">
        <f>IF(ISERROR(C64),LEFT(B64&amp;"",1)="#",IF(ISNUMBER(C64),AND(ISNUMBER(B64),ABS(C64-B64)&lt;=0.000001*MAX(1,ABS(B64))),EXACT(C64&amp;"",B64&amp;"")))</f>
      </c>
      <c r="E64">
        <f>ISERROR(C64)</f>
      </c>
    </row>
    <row r="65">
      <c r="A65" t="str">
        <v>L5</v>
      </c>
      <c r="B65">
        <v>37.95</v>
      </c>
      <c r="C65">
        <f>'ly'!L5</f>
      </c>
      <c r="D65">
        <f>IF(ISERROR(C65),LEFT(B65&amp;"",1)="#",IF(ISNUMBER(C65),AND(ISNUMBER(B65),ABS(C65-B65)&lt;=0.000001*MAX(1,ABS(B65))),EXACT(C65&amp;"",B65&amp;"")))</f>
      </c>
      <c r="E65">
        <f>ISERROR(C65)</f>
      </c>
    </row>
    <row r="66">
      <c r="A66" t="str">
        <v>L6</v>
      </c>
      <c r="B66">
        <v>31.05</v>
      </c>
      <c r="C66">
        <f>'ly'!L6</f>
      </c>
      <c r="D66">
        <f>IF(ISERROR(C66),LEFT(B66&amp;"",1)="#",IF(ISNUMBER(C66),AND(ISNUMBER(B66),ABS(C66-B66)&lt;=0.000001*MAX(1,ABS(B66))),EXACT(C66&amp;"",B66&amp;"")))</f>
      </c>
      <c r="E66">
        <f>ISERROR(C66)</f>
      </c>
    </row>
    <row r="67">
      <c r="A67" t="str">
        <v>L7</v>
      </c>
      <c r="B67">
        <v>23.21</v>
      </c>
      <c r="C67">
        <f>'ly'!L7</f>
      </c>
      <c r="D67">
        <f>IF(ISERROR(C67),LEFT(B67&amp;"",1)="#",IF(ISNUMBER(C67),AND(ISNUMBER(B67),ABS(C67-B67)&lt;=0.000001*MAX(1,ABS(B67))),EXACT(C67&amp;"",B67&amp;"")))</f>
      </c>
      <c r="E67">
        <f>ISERROR(C67)</f>
      </c>
    </row>
    <row r="68">
      <c r="A68" t="str">
        <v>L8</v>
      </c>
      <c r="B68">
        <v>32.98</v>
      </c>
      <c r="C68">
        <f>'ly'!L8</f>
      </c>
      <c r="D68">
        <f>IF(ISERROR(C68),LEFT(B68&amp;"",1)="#",IF(ISNUMBER(C68),AND(ISNUMBER(B68),ABS(C68-B68)&lt;=0.000001*MAX(1,ABS(B68))),EXACT(C68&amp;"",B68&amp;"")))</f>
      </c>
      <c r="E68">
        <f>ISERROR(C68)</f>
      </c>
    </row>
    <row r="69">
      <c r="A69" t="str">
        <v>L9</v>
      </c>
      <c r="B69">
        <v>41.98</v>
      </c>
      <c r="C69">
        <f>'ly'!L9</f>
      </c>
      <c r="D69">
        <f>IF(ISERROR(C69),LEFT(B69&amp;"",1)="#",IF(ISNUMBER(C69),AND(ISNUMBER(B69),ABS(C69-B69)&lt;=0.000001*MAX(1,ABS(B69))),EXACT(C69&amp;"",B69&amp;"")))</f>
      </c>
      <c r="E69">
        <f>ISERROR(C69)</f>
      </c>
    </row>
    <row r="70">
      <c r="A70" t="str">
        <v>L10</v>
      </c>
      <c r="B70">
        <v>21.35</v>
      </c>
      <c r="C70">
        <f>'ly'!L10</f>
      </c>
      <c r="D70">
        <f>IF(ISERROR(C70),LEFT(B70&amp;"",1)="#",IF(ISNUMBER(C70),AND(ISNUMBER(B70),ABS(C70-B70)&lt;=0.000001*MAX(1,ABS(B70))),EXACT(C70&amp;"",B70&amp;"")))</f>
      </c>
      <c r="E70">
        <f>ISERROR(C70)</f>
      </c>
    </row>
    <row r="71">
      <c r="A71" t="str">
        <v>L11</v>
      </c>
      <c r="B71">
        <v>29.31</v>
      </c>
      <c r="C71">
        <f>'ly'!L11</f>
      </c>
      <c r="D71">
        <f>IF(ISERROR(C71),LEFT(B71&amp;"",1)="#",IF(ISNUMBER(C71),AND(ISNUMBER(B71),ABS(C71-B71)&lt;=0.000001*MAX(1,ABS(B71))),EXACT(C71&amp;"",B71&amp;"")))</f>
      </c>
      <c r="E71">
        <f>ISERROR(C71)</f>
      </c>
    </row>
    <row r="72">
      <c r="A72" t="str">
        <v>L12</v>
      </c>
      <c r="B72">
        <v>23.54</v>
      </c>
      <c r="C72">
        <f>'ly'!L12</f>
      </c>
      <c r="D72">
        <f>IF(ISERROR(C72),LEFT(B72&amp;"",1)="#",IF(ISNUMBER(C72),AND(ISNUMBER(B72),ABS(C72-B72)&lt;=0.000001*MAX(1,ABS(B72))),EXACT(C72&amp;"",B72&amp;"")))</f>
      </c>
      <c r="E72">
        <f>ISERROR(C72)</f>
      </c>
    </row>
    <row r="73">
      <c r="A73" t="str">
        <v>L13</v>
      </c>
      <c r="B73">
        <v>33.86</v>
      </c>
      <c r="C73">
        <f>'ly'!L13</f>
      </c>
      <c r="D73">
        <f>IF(ISERROR(C73),LEFT(B73&amp;"",1)="#",IF(ISNUMBER(C73),AND(ISNUMBER(B73),ABS(C73-B73)&lt;=0.000001*MAX(1,ABS(B73))),EXACT(C73&amp;"",B73&amp;"")))</f>
      </c>
      <c r="E73">
        <f>ISERROR(C73)</f>
      </c>
    </row>
    <row r="74">
      <c r="A74" t="str">
        <v>M2</v>
      </c>
      <c r="B74">
        <v>10</v>
      </c>
      <c r="C74">
        <f>'ly'!M2</f>
      </c>
      <c r="D74">
        <f>IF(ISERROR(C74),LEFT(B74&amp;"",1)="#",IF(ISNUMBER(C74),AND(ISNUMBER(B74),ABS(C74-B74)&lt;=0.000001*MAX(1,ABS(B74))),EXACT(C74&amp;"",B74&amp;"")))</f>
      </c>
      <c r="E74">
        <f>ISERROR(C74)</f>
      </c>
    </row>
    <row r="75">
      <c r="A75" t="str">
        <v>M3</v>
      </c>
      <c r="B75">
        <v>64.42</v>
      </c>
      <c r="C75">
        <f>'ly'!M3</f>
      </c>
      <c r="D75">
        <f>IF(ISERROR(C75),LEFT(B75&amp;"",1)="#",IF(ISNUMBER(C75),AND(ISNUMBER(B75),ABS(C75-B75)&lt;=0.000001*MAX(1,ABS(B75))),EXACT(C75&amp;"",B75&amp;"")))</f>
      </c>
      <c r="E75">
        <f>ISERROR(C75)</f>
      </c>
    </row>
    <row r="76">
      <c r="A76" t="str">
        <v>M4</v>
      </c>
      <c r="B76">
        <v>42.77</v>
      </c>
      <c r="C76">
        <f>'ly'!M4</f>
      </c>
      <c r="D76">
        <f>IF(ISERROR(C76),LEFT(B76&amp;"",1)="#",IF(ISNUMBER(C76),AND(ISNUMBER(B76),ABS(C76-B76)&lt;=0.000001*MAX(1,ABS(B76))),EXACT(C76&amp;"",B76&amp;"")))</f>
      </c>
      <c r="E76">
        <f>ISERROR(C76)</f>
      </c>
    </row>
    <row r="77">
      <c r="A77" t="str">
        <v>M5</v>
      </c>
      <c r="B77">
        <v>59.74</v>
      </c>
      <c r="C77">
        <f>'ly'!M5</f>
      </c>
      <c r="D77">
        <f>IF(ISERROR(C77),LEFT(B77&amp;"",1)="#",IF(ISNUMBER(C77),AND(ISNUMBER(B77),ABS(C77-B77)&lt;=0.000001*MAX(1,ABS(B77))),EXACT(C77&amp;"",B77&amp;"")))</f>
      </c>
      <c r="E77">
        <f>ISERROR(C77)</f>
      </c>
    </row>
    <row r="78">
      <c r="A78" t="str">
        <v>M6</v>
      </c>
      <c r="B78">
        <v>64.42</v>
      </c>
      <c r="C78">
        <f>'ly'!M6</f>
      </c>
      <c r="D78">
        <f>IF(ISERROR(C78),LEFT(B78&amp;"",1)="#",IF(ISNUMBER(C78),AND(ISNUMBER(B78),ABS(C78-B78)&lt;=0.000001*MAX(1,ABS(B78))),EXACT(C78&amp;"",B78&amp;"")))</f>
      </c>
      <c r="E78">
        <f>ISERROR(C78)</f>
      </c>
    </row>
    <row r="79">
      <c r="A79" t="str">
        <v>M7</v>
      </c>
      <c r="B79">
        <v>22.96</v>
      </c>
      <c r="C79">
        <f>'ly'!M7</f>
      </c>
      <c r="D79">
        <f>IF(ISERROR(C79),LEFT(B79&amp;"",1)="#",IF(ISNUMBER(C79),AND(ISNUMBER(B79),ABS(C79-B79)&lt;=0.000001*MAX(1,ABS(B79))),EXACT(C79&amp;"",B79&amp;"")))</f>
      </c>
      <c r="E79">
        <f>ISERROR(C79)</f>
      </c>
    </row>
    <row r="80">
      <c r="A80" t="str">
        <v>M8</v>
      </c>
      <c r="B80">
        <v>19.88</v>
      </c>
      <c r="C80">
        <f>'ly'!M8</f>
      </c>
      <c r="D80">
        <f>IF(ISERROR(C80),LEFT(B80&amp;"",1)="#",IF(ISNUMBER(C80),AND(ISNUMBER(B80),ABS(C80-B80)&lt;=0.000001*MAX(1,ABS(B80))),EXACT(C80&amp;"",B80&amp;"")))</f>
      </c>
      <c r="E80">
        <f>ISERROR(C80)</f>
      </c>
    </row>
    <row r="81">
      <c r="A81" t="str">
        <v>M9</v>
      </c>
      <c r="B81">
        <v>74.32</v>
      </c>
      <c r="C81">
        <f>'ly'!M9</f>
      </c>
      <c r="D81">
        <f>IF(ISERROR(C81),LEFT(B81&amp;"",1)="#",IF(ISNUMBER(C81),AND(ISNUMBER(B81),ABS(C81-B81)&lt;=0.000001*MAX(1,ABS(B81))),EXACT(C81&amp;"",B81&amp;"")))</f>
      </c>
      <c r="E81">
        <f>ISERROR(C81)</f>
      </c>
    </row>
    <row r="82">
      <c r="A82" t="str">
        <v>M10</v>
      </c>
      <c r="B82">
        <v>5.66</v>
      </c>
      <c r="C82">
        <f>'ly'!M10</f>
      </c>
      <c r="D82">
        <f>IF(ISERROR(C82),LEFT(B82&amp;"",1)="#",IF(ISNUMBER(C82),AND(ISNUMBER(B82),ABS(C82-B82)&lt;=0.000001*MAX(1,ABS(B82))),EXACT(C82&amp;"",B82&amp;"")))</f>
      </c>
      <c r="E82">
        <f>ISERROR(C82)</f>
      </c>
    </row>
    <row r="83">
      <c r="A83" t="str">
        <v>M11</v>
      </c>
      <c r="B83">
        <v>3.18</v>
      </c>
      <c r="C83">
        <f>'ly'!M11</f>
      </c>
      <c r="D83">
        <f>IF(ISERROR(C83),LEFT(B83&amp;"",1)="#",IF(ISNUMBER(C83),AND(ISNUMBER(B83),ABS(C83-B83)&lt;=0.000001*MAX(1,ABS(B83))),EXACT(C83&amp;"",B83&amp;"")))</f>
      </c>
      <c r="E83">
        <f>ISERROR(C83)</f>
      </c>
    </row>
    <row r="84">
      <c r="A84" t="str">
        <v>M12</v>
      </c>
      <c r="B84">
        <v>2.55</v>
      </c>
      <c r="C84">
        <f>'ly'!M12</f>
      </c>
      <c r="D84">
        <f>IF(ISERROR(C84),LEFT(B84&amp;"",1)="#",IF(ISNUMBER(C84),AND(ISNUMBER(B84),ABS(C84-B84)&lt;=0.000001*MAX(1,ABS(B84))),EXACT(C84&amp;"",B84&amp;"")))</f>
      </c>
      <c r="E84">
        <f>ISERROR(C84)</f>
      </c>
    </row>
    <row r="85">
      <c r="A85" t="str">
        <v>M13</v>
      </c>
      <c r="B85">
        <v>68.98</v>
      </c>
      <c r="C85">
        <f>'ly'!M13</f>
      </c>
      <c r="D85">
        <f>IF(ISERROR(C85),LEFT(B85&amp;"",1)="#",IF(ISNUMBER(C85),AND(ISNUMBER(B85),ABS(C85-B85)&lt;=0.000001*MAX(1,ABS(B85))),EXACT(C85&amp;"",B85&amp;"")))</f>
      </c>
      <c r="E85">
        <f>ISERROR(C85)</f>
      </c>
    </row>
    <row r="86">
      <c r="A86" t="str">
        <v>N2</v>
      </c>
      <c r="B86" t="str">
        <v>CAO</v>
      </c>
      <c r="C86">
        <f>'ly'!N2</f>
      </c>
      <c r="D86">
        <f>IF(ISERROR(C86),LEFT(B86&amp;"",1)="#",IF(ISNUMBER(C86),AND(ISNUMBER(B86),ABS(C86-B86)&lt;=0.000001*MAX(1,ABS(B86))),EXACT(C86&amp;"",B86&amp;"")))</f>
      </c>
      <c r="E86">
        <f>ISERROR(C86)</f>
      </c>
    </row>
    <row r="87">
      <c r="A87" t="str">
        <v>N3</v>
      </c>
      <c r="B87" t="str">
        <v>CAO</v>
      </c>
      <c r="C87">
        <f>'ly'!N3</f>
      </c>
      <c r="D87">
        <f>IF(ISERROR(C87),LEFT(B87&amp;"",1)="#",IF(ISNUMBER(C87),AND(ISNUMBER(B87),ABS(C87-B87)&lt;=0.000001*MAX(1,ABS(B87))),EXACT(C87&amp;"",B87&amp;"")))</f>
      </c>
      <c r="E87">
        <f>ISERROR(C87)</f>
      </c>
    </row>
    <row r="88">
      <c r="A88" t="str">
        <v>N4</v>
      </c>
      <c r="B88" t="str">
        <v>CAO</v>
      </c>
      <c r="C88">
        <f>'ly'!N4</f>
      </c>
      <c r="D88">
        <f>IF(ISERROR(C88),LEFT(B88&amp;"",1)="#",IF(ISNUMBER(C88),AND(ISNUMBER(B88),ABS(C88-B88)&lt;=0.000001*MAX(1,ABS(B88))),EXACT(C88&amp;"",B88&amp;"")))</f>
      </c>
      <c r="E88">
        <f>ISERROR(C88)</f>
      </c>
    </row>
    <row r="89">
      <c r="A89" t="str">
        <v>N5</v>
      </c>
      <c r="B89" t="str">
        <v>CAO</v>
      </c>
      <c r="C89">
        <f>'ly'!N5</f>
      </c>
      <c r="D89">
        <f>IF(ISERROR(C89),LEFT(B89&amp;"",1)="#",IF(ISNUMBER(C89),AND(ISNUMBER(B89),ABS(C89-B89)&lt;=0.000001*MAX(1,ABS(B89))),EXACT(C89&amp;"",B89&amp;"")))</f>
      </c>
      <c r="E89">
        <f>ISERROR(C89)</f>
      </c>
    </row>
    <row r="90">
      <c r="A90" t="str">
        <v>N6</v>
      </c>
      <c r="B90" t="str">
        <v>CAO</v>
      </c>
      <c r="C90">
        <f>'ly'!N6</f>
      </c>
      <c r="D90">
        <f>IF(ISERROR(C90),LEFT(B90&amp;"",1)="#",IF(ISNUMBER(C90),AND(ISNUMBER(B90),ABS(C90-B90)&lt;=0.000001*MAX(1,ABS(B90))),EXACT(C90&amp;"",B90&amp;"")))</f>
      </c>
      <c r="E90">
        <f>ISERROR(C90)</f>
      </c>
    </row>
    <row r="91">
      <c r="A91" t="str">
        <v>N7</v>
      </c>
      <c r="B91" t="str">
        <v>CAO</v>
      </c>
      <c r="C91">
        <f>'ly'!N7</f>
      </c>
      <c r="D91">
        <f>IF(ISERROR(C91),LEFT(B91&amp;"",1)="#",IF(ISNUMBER(C91),AND(ISNUMBER(B91),ABS(C91-B91)&lt;=0.000001*MAX(1,ABS(B91))),EXACT(C91&amp;"",B91&amp;"")))</f>
      </c>
      <c r="E91">
        <f>ISERROR(C91)</f>
      </c>
    </row>
    <row r="92">
      <c r="A92" t="str">
        <v>N8</v>
      </c>
      <c r="B92" t="str">
        <v>CAO</v>
      </c>
      <c r="C92">
        <f>'ly'!N8</f>
      </c>
      <c r="D92">
        <f>IF(ISERROR(C92),LEFT(B92&amp;"",1)="#",IF(ISNUMBER(C92),AND(ISNUMBER(B92),ABS(C92-B92)&lt;=0.000001*MAX(1,ABS(B92))),EXACT(C92&amp;"",B92&amp;"")))</f>
      </c>
      <c r="E92">
        <f>ISERROR(C92)</f>
      </c>
    </row>
    <row r="93">
      <c r="A93" t="str">
        <v>N9</v>
      </c>
      <c r="B93" t="str">
        <v>CAO</v>
      </c>
      <c r="C93">
        <f>'ly'!N9</f>
      </c>
      <c r="D93">
        <f>IF(ISERROR(C93),LEFT(B93&amp;"",1)="#",IF(ISNUMBER(C93),AND(ISNUMBER(B93),ABS(C93-B93)&lt;=0.000001*MAX(1,ABS(B93))),EXACT(C93&amp;"",B93&amp;"")))</f>
      </c>
      <c r="E93">
        <f>ISERROR(C93)</f>
      </c>
    </row>
    <row r="94">
      <c r="A94" t="str">
        <v>N10</v>
      </c>
      <c r="B94" t="str">
        <v>CAO</v>
      </c>
      <c r="C94">
        <f>'ly'!N10</f>
      </c>
      <c r="D94">
        <f>IF(ISERROR(C94),LEFT(B94&amp;"",1)="#",IF(ISNUMBER(C94),AND(ISNUMBER(B94),ABS(C94-B94)&lt;=0.000001*MAX(1,ABS(B94))),EXACT(C94&amp;"",B94&amp;"")))</f>
      </c>
      <c r="E94">
        <f>ISERROR(C94)</f>
      </c>
    </row>
    <row r="95">
      <c r="A95" t="str">
        <v>N11</v>
      </c>
      <c r="B95" t="str">
        <v>CAO</v>
      </c>
      <c r="C95">
        <f>'ly'!N11</f>
      </c>
      <c r="D95">
        <f>IF(ISERROR(C95),LEFT(B95&amp;"",1)="#",IF(ISNUMBER(C95),AND(ISNUMBER(B95),ABS(C95-B95)&lt;=0.000001*MAX(1,ABS(B95))),EXACT(C95&amp;"",B95&amp;"")))</f>
      </c>
      <c r="E95">
        <f>ISERROR(C95)</f>
      </c>
    </row>
    <row r="96">
      <c r="A96" t="str">
        <v>N12</v>
      </c>
      <c r="B96" t="str">
        <v>CAO</v>
      </c>
      <c r="C96">
        <f>'ly'!N12</f>
      </c>
      <c r="D96">
        <f>IF(ISERROR(C96),LEFT(B96&amp;"",1)="#",IF(ISNUMBER(C96),AND(ISNUMBER(B96),ABS(C96-B96)&lt;=0.000001*MAX(1,ABS(B96))),EXACT(C96&amp;"",B96&amp;"")))</f>
      </c>
      <c r="E96">
        <f>ISERROR(C96)</f>
      </c>
    </row>
    <row r="97">
      <c r="A97" t="str">
        <v>N13</v>
      </c>
      <c r="B97" t="str">
        <v>CAO</v>
      </c>
      <c r="C97">
        <f>'ly'!N13</f>
      </c>
      <c r="D97">
        <f>IF(ISERROR(C97),LEFT(B97&amp;"",1)="#",IF(ISNUMBER(C97),AND(ISNUMBER(B97),ABS(C97-B97)&lt;=0.000001*MAX(1,ABS(B97))),EXACT(C97&amp;"",B97&amp;"")))</f>
      </c>
      <c r="E97">
        <f>ISERROR(C97)</f>
      </c>
    </row>
    <row r="98">
      <c r="A98" t="str">
        <v>Z2</v>
      </c>
      <c r="B98" t="str">
        <v>TN08</v>
      </c>
      <c r="C98">
        <f>'ly'!Z2</f>
      </c>
      <c r="D98">
        <f>IF(ISERROR(C98),LEFT(B98&amp;"",1)="#",IF(ISNUMBER(C98),AND(ISNUMBER(B98),ABS(C98-B98)&lt;=0.000001*MAX(1,ABS(B98))),EXACT(C98&amp;"",B98&amp;"")))</f>
      </c>
      <c r="E98">
        <f>ISERROR(C98)</f>
      </c>
    </row>
    <row r="99">
      <c r="A99" t="str">
        <v>Z3</v>
      </c>
      <c r="B99">
        <v>20818.9</v>
      </c>
      <c r="C99">
        <f>'ly'!Z3</f>
      </c>
      <c r="D99">
        <f>IF(ISERROR(C99),LEFT(B99&amp;"",1)="#",IF(ISNUMBER(C99),AND(ISNUMBER(B99),ABS(C99-B99)&lt;=0.000001*MAX(1,ABS(B99))),EXACT(C99&amp;"",B99&amp;"")))</f>
      </c>
      <c r="E99">
        <f>ISERROR(C99)</f>
      </c>
    </row>
    <row r="100">
      <c r="A100" t="str">
        <v>Z4</v>
      </c>
      <c r="B100">
        <v>2</v>
      </c>
      <c r="C100">
        <f>'ly'!Z4</f>
      </c>
      <c r="D100">
        <f>IF(ISERROR(C100),LEFT(B100&amp;"",1)="#",IF(ISNUMBER(C100),AND(ISNUMBER(B100),ABS(C100-B100)&lt;=0.000001*MAX(1,ABS(B100))),EXACT(C100&amp;"",B100&amp;"")))</f>
      </c>
      <c r="E100">
        <f>ISERROR(C100)</f>
      </c>
    </row>
    <row r="101">
      <c r="A101" t="str">
        <v>Z5</v>
      </c>
      <c r="B101">
        <v>36.39</v>
      </c>
      <c r="C101">
        <f>'ly'!Z5</f>
      </c>
      <c r="D101">
        <f>IF(ISERROR(C101),LEFT(B101&amp;"",1)="#",IF(ISNUMBER(C101),AND(ISNUMBER(B101),ABS(C101-B101)&lt;=0.000001*MAX(1,ABS(B101))),EXACT(C101&amp;"",B101&amp;"")))</f>
      </c>
      <c r="E101">
        <f>ISERROR(C101)</f>
      </c>
    </row>
    <row r="102">
      <c r="A102" t="str">
        <v>Z6</v>
      </c>
      <c r="B102">
        <v>64.42</v>
      </c>
      <c r="C102">
        <f>'ly'!Z6</f>
      </c>
      <c r="D102">
        <f>IF(ISERROR(C102),LEFT(B102&amp;"",1)="#",IF(ISNUMBER(C102),AND(ISNUMBER(B102),ABS(C102-B102)&lt;=0.000001*MAX(1,ABS(B102))),EXACT(C102&amp;"",B102&amp;"")))</f>
      </c>
      <c r="E102">
        <f>ISERROR(C102)</f>
      </c>
    </row>
    <row r="103">
      <c r="A103" t="str">
        <v>Z7</v>
      </c>
      <c r="B103">
        <v>4258.5</v>
      </c>
      <c r="C103">
        <f>'ly'!Z7</f>
      </c>
      <c r="D103">
        <f>IF(ISERROR(C103),LEFT(B103&amp;"",1)="#",IF(ISNUMBER(C103),AND(ISNUMBER(B103),ABS(C103-B103)&lt;=0.000001*MAX(1,ABS(B103))),EXACT(C103&amp;"",B103&amp;"")))</f>
      </c>
      <c r="E103">
        <f>ISERROR(C103)</f>
      </c>
    </row>
    <row r="104">
      <c r="A104" t="str">
        <v>Z8</v>
      </c>
      <c r="B104">
        <v>7713.6</v>
      </c>
      <c r="C104">
        <f>'ly'!Z8</f>
      </c>
      <c r="D104">
        <f>IF(ISERROR(C104),LEFT(B104&amp;"",1)="#",IF(ISNUMBER(C104),AND(ISNUMBER(B104),ABS(C104-B104)&lt;=0.000001*MAX(1,ABS(B104))),EXACT(C104&amp;"",B104&amp;"")))</f>
      </c>
      <c r="E104">
        <f>ISERROR(C104)</f>
      </c>
    </row>
    <row r="105">
      <c r="A105" t="str">
        <v>Z9</v>
      </c>
      <c r="B105">
        <v>8.91</v>
      </c>
      <c r="C105">
        <f>'ly'!Z9</f>
      </c>
      <c r="D105">
        <f>IF(ISERROR(C105),LEFT(B105&amp;"",1)="#",IF(ISNUMBER(C105),AND(ISNUMBER(B105),ABS(C105-B105)&lt;=0.000001*MAX(1,ABS(B105))),EXACT(C105&amp;"",B105&amp;"")))</f>
      </c>
      <c r="E105">
        <f>ISERROR(C105)</f>
      </c>
    </row>
    <row r="106">
      <c r="A106" t="str">
        <v>Z10</v>
      </c>
      <c r="B106">
        <v>20818.9</v>
      </c>
      <c r="C106">
        <f>'ly'!Z10</f>
      </c>
      <c r="D106">
        <f>IF(ISERROR(C106),LEFT(B106&amp;"",1)="#",IF(ISNUMBER(C106),AND(ISNUMBER(B106),ABS(C106-B106)&lt;=0.000001*MAX(1,ABS(B106))),EXACT(C106&amp;"",B106&amp;"")))</f>
      </c>
      <c r="E106">
        <f>ISERROR(C106)</f>
      </c>
    </row>
    <row r="107">
      <c r="A107" t="str">
        <v>Z11</v>
      </c>
      <c r="B107">
        <v>4</v>
      </c>
      <c r="C107">
        <f>'ly'!Z11</f>
      </c>
      <c r="D107">
        <f>IF(ISERROR(C107),LEFT(B107&amp;"",1)="#",IF(ISNUMBER(C107),AND(ISNUMBER(B107),ABS(C107-B107)&lt;=0.000001*MAX(1,ABS(B107))),EXACT(C107&amp;"",B107&amp;"")))</f>
      </c>
      <c r="E107">
        <f>ISERROR(C107)</f>
      </c>
    </row>
    <row r="108">
      <c r="A108" t="str">
        <v>Z12</v>
      </c>
      <c r="B108">
        <v>58436.600000000006</v>
      </c>
      <c r="C108">
        <f>'ly'!Z12</f>
      </c>
      <c r="D108">
        <f>IF(ISERROR(C108),LEFT(B108&amp;"",1)="#",IF(ISNUMBER(C108),AND(ISNUMBER(B108),ABS(C108-B108)&lt;=0.000001*MAX(1,ABS(B108))),EXACT(C108&amp;"",B108&amp;"")))</f>
      </c>
      <c r="E108">
        <f>ISERROR(C108)</f>
      </c>
    </row>
    <row r="109">
      <c r="A109" t="str">
        <v>Z13</v>
      </c>
      <c r="B109">
        <v>2189</v>
      </c>
      <c r="C109">
        <f>'ly'!Z13</f>
      </c>
      <c r="D109">
        <f>IF(ISERROR(C109),LEFT(B109&amp;"",1)="#",IF(ISNUMBER(C109),AND(ISNUMBER(B109),ABS(C109-B109)&lt;=0.000001*MAX(1,ABS(B109))),EXACT(C109&amp;"",B109&amp;"")))</f>
      </c>
      <c r="E109">
        <f>ISERROR(C109)</f>
      </c>
    </row>
  </sheetData>
  <ignoredErrors>
    <ignoredError numberStoredAsText="1" sqref="A1:E109"/>
  </ignoredErrors>
</worksheet>
</file>

<file path=xl/worksheets/sheet4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MaGD</v>
      </c>
      <c r="B1" t="str">
        <v>Loai</v>
      </c>
      <c r="C1" t="str">
        <v>SoTien</v>
      </c>
      <c r="D1" t="str">
        <v>LaiSuat</v>
      </c>
      <c r="E1" t="str">
        <v>SoThang</v>
      </c>
      <c r="F1" t="str">
        <v>LaiDon</v>
      </c>
      <c r="G1" t="str">
        <v>TongDon</v>
      </c>
      <c r="H1" t="str">
        <v>GiaTriKep</v>
      </c>
      <c r="I1" t="str">
        <v>ChenhLech</v>
      </c>
      <c r="J1" t="str">
        <v>Muc</v>
      </c>
      <c r="W1" t="str">
        <v>Loai</v>
      </c>
      <c r="Y1" t="str">
        <v>TongHop</v>
      </c>
      <c r="Z1" t="str">
        <v>KetQua</v>
      </c>
    </row>
    <row r="2">
      <c r="A2" t="str">
        <v>GD01</v>
      </c>
      <c r="B2" t="str">
        <v>GUI</v>
      </c>
      <c r="C2">
        <v>342</v>
      </c>
      <c r="D2">
        <v>0.07</v>
      </c>
      <c r="E2">
        <v>18</v>
      </c>
      <c r="F2">
        <f>ROUND(C2*D2*E2/12,2)</f>
        <v>35.91</v>
      </c>
      <c r="G2">
        <f>ROUND(C2+F2,2)</f>
        <v>377.91</v>
      </c>
      <c r="H2">
        <f>ROUND(FV(D2/12,E2,0,-C2),2)</f>
        <v>379.75</v>
      </c>
      <c r="I2">
        <f>ROUND(H2-G2,2)</f>
        <v>1.84</v>
      </c>
      <c r="J2" t="str">
        <f>IF(I2&gt;=10,"CHENH NHIEU","CHENH IT")</f>
        <v>CHENH IT</v>
      </c>
      <c r="W2" t="str">
        <v>GUI</v>
      </c>
      <c r="Y2" t="str">
        <v>Ma MaGD co GiaTriKep lon nhat</v>
      </c>
      <c r="Z2" t="str">
        <f>INDEX(A2:A13,MATCH(MAX(H2:H13),H2:H13,0))</f>
        <v>GD03</v>
      </c>
    </row>
    <row r="3">
      <c r="A3" t="str">
        <v>GD02</v>
      </c>
      <c r="B3" t="str">
        <v>VAY</v>
      </c>
      <c r="C3">
        <v>34</v>
      </c>
      <c r="D3">
        <v>0.06</v>
      </c>
      <c r="E3">
        <v>36</v>
      </c>
      <c r="F3">
        <f>ROUND(C3*D3*E3/12,2)</f>
        <v>6.12</v>
      </c>
      <c r="G3">
        <f>ROUND(C3+F3,2)</f>
        <v>40.12</v>
      </c>
      <c r="H3">
        <f>ROUND(FV(D3/12,E3,0,-C3),2)</f>
        <v>40.69</v>
      </c>
      <c r="I3">
        <f>ROUND(H3-G3,2)</f>
        <v>0.57</v>
      </c>
      <c r="J3" t="str">
        <f>IF(I3&gt;=10,"CHENH NHIEU","CHENH IT")</f>
        <v>CHENH IT</v>
      </c>
      <c r="Y3" t="str">
        <v>Tong GiaTriKep khi Loai = GUI</v>
      </c>
      <c r="Z3">
        <f>SUMIF(B2:B13,"GUI",H2:H13)</f>
        <v>1495.7799999999997</v>
      </c>
    </row>
    <row r="4">
      <c r="A4" t="str">
        <v>GD03</v>
      </c>
      <c r="B4" t="str">
        <v>GUI</v>
      </c>
      <c r="C4">
        <v>443</v>
      </c>
      <c r="D4">
        <v>0.06</v>
      </c>
      <c r="E4">
        <v>24</v>
      </c>
      <c r="F4">
        <f>ROUND(C4*D4*E4/12,2)</f>
        <v>53.16</v>
      </c>
      <c r="G4">
        <f>ROUND(C4+F4,2)</f>
        <v>496.16</v>
      </c>
      <c r="H4">
        <f>ROUND(FV(D4/12,E4,0,-C4),2)</f>
        <v>499.33</v>
      </c>
      <c r="I4">
        <f>ROUND(H4-G4,2)</f>
        <v>3.17</v>
      </c>
      <c r="J4" t="str">
        <f>IF(I4&gt;=10,"CHENH NHIEU","CHENH IT")</f>
        <v>CHENH IT</v>
      </c>
      <c r="Y4" t="str">
        <v>So dong Loai = VAY, SoThang &gt;=18</v>
      </c>
      <c r="Z4">
        <f>COUNTIFS(B2:B13,"VAY",E2:E13,"&gt;=18")</f>
        <v>6</v>
      </c>
    </row>
    <row r="5">
      <c r="A5" t="str">
        <v>GD04</v>
      </c>
      <c r="B5" t="str">
        <v>VAY</v>
      </c>
      <c r="C5">
        <v>158</v>
      </c>
      <c r="D5">
        <v>0.07</v>
      </c>
      <c r="E5">
        <v>36</v>
      </c>
      <c r="F5">
        <f>ROUND(C5*D5*E5/12,2)</f>
        <v>33.18</v>
      </c>
      <c r="G5">
        <f>ROUND(C5+F5,2)</f>
        <v>191.18</v>
      </c>
      <c r="H5">
        <f>ROUND(FV(D5/12,E5,0,-C5),2)</f>
        <v>194.8</v>
      </c>
      <c r="I5">
        <f>ROUND(H5-G5,2)</f>
        <v>3.62</v>
      </c>
      <c r="J5" t="str">
        <f>IF(I5&gt;=10,"CHENH NHIEU","CHENH IT")</f>
        <v>CHENH IT</v>
      </c>
      <c r="Y5" t="str">
        <v>LaiDon trung binh khi Loai = VAY</v>
      </c>
      <c r="Z5">
        <f>AVERAGEIF(B2:B13,"VAY",F2:F13)</f>
        <v>47.10285714285714</v>
      </c>
    </row>
    <row r="6">
      <c r="A6" t="str">
        <v>GD05</v>
      </c>
      <c r="B6" t="str">
        <v>VAY</v>
      </c>
      <c r="C6">
        <v>423</v>
      </c>
      <c r="D6">
        <v>0.06</v>
      </c>
      <c r="E6">
        <v>24</v>
      </c>
      <c r="F6">
        <f>ROUND(C6*D6*E6/12,2)</f>
        <v>50.76</v>
      </c>
      <c r="G6">
        <f>ROUND(C6+F6,2)</f>
        <v>473.76</v>
      </c>
      <c r="H6">
        <f>ROUND(FV(D6/12,E6,0,-C6),2)</f>
        <v>476.79</v>
      </c>
      <c r="I6">
        <f>ROUND(H6-G6,2)</f>
        <v>3.03</v>
      </c>
      <c r="J6" t="str">
        <f>IF(I6&gt;=10,"CHENH NHIEU","CHENH IT")</f>
        <v>CHENH IT</v>
      </c>
      <c r="Y6" t="str">
        <v>ChenhLech lon nhat khi Loai = GUI</v>
      </c>
      <c r="Z6">
        <f>_xlfn.MAXIFS(I2:I13,B2:B13,"GUI")</f>
        <v>3.17</v>
      </c>
    </row>
    <row r="7">
      <c r="A7" t="str">
        <v>GD06</v>
      </c>
      <c r="B7" t="str">
        <v>VAY</v>
      </c>
      <c r="C7">
        <v>120</v>
      </c>
      <c r="D7">
        <v>0.12</v>
      </c>
      <c r="E7">
        <v>36</v>
      </c>
      <c r="F7">
        <f>ROUND(C7*D7*E7/12,2)</f>
        <v>43.2</v>
      </c>
      <c r="G7">
        <f>ROUND(C7+F7,2)</f>
        <v>163.2</v>
      </c>
      <c r="H7">
        <f>ROUND(FV(D7/12,E7,0,-C7),2)</f>
        <v>171.69</v>
      </c>
      <c r="I7">
        <f>ROUND(H7-G7,2)</f>
        <v>8.49</v>
      </c>
      <c r="J7" t="str">
        <f>IF(I7&gt;=10,"CHENH NHIEU","CHENH IT")</f>
        <v>CHENH IT</v>
      </c>
      <c r="Y7" t="str">
        <v>GiaTriKep trung vi</v>
      </c>
      <c r="Z7">
        <f>MEDIAN(H2:H13)</f>
        <v>238.075</v>
      </c>
    </row>
    <row r="8">
      <c r="A8" t="str">
        <v>GD07</v>
      </c>
      <c r="B8" t="str">
        <v>GUI</v>
      </c>
      <c r="C8">
        <v>245</v>
      </c>
      <c r="D8">
        <v>0.06</v>
      </c>
      <c r="E8">
        <v>18</v>
      </c>
      <c r="F8">
        <f>ROUND(C8*D8*E8/12,2)</f>
        <v>22.05</v>
      </c>
      <c r="G8">
        <f>ROUND(C8+F8,2)</f>
        <v>267.05</v>
      </c>
      <c r="H8">
        <f>ROUND(FV(D8/12,E8,0,-C8),2)</f>
        <v>268.01</v>
      </c>
      <c r="I8">
        <f>ROUND(H8-G8,2)</f>
        <v>0.96</v>
      </c>
      <c r="J8" t="str">
        <f>IF(I8&gt;=10,"CHENH NHIEU","CHENH IT")</f>
        <v>CHENH IT</v>
      </c>
      <c r="Y8" t="str">
        <v>GiaTriKep lon thu hai</v>
      </c>
      <c r="Z8">
        <f>LARGE(H2:H13,2)</f>
        <v>488.24</v>
      </c>
    </row>
    <row r="9">
      <c r="A9" t="str">
        <v>GD08</v>
      </c>
      <c r="B9" t="str">
        <v>GUI</v>
      </c>
      <c r="C9">
        <v>114</v>
      </c>
      <c r="D9">
        <v>0.07</v>
      </c>
      <c r="E9">
        <v>36</v>
      </c>
      <c r="F9">
        <f>ROUND(C9*D9*E9/12,2)</f>
        <v>23.94</v>
      </c>
      <c r="G9">
        <f>ROUND(C9+F9,2)</f>
        <v>137.94</v>
      </c>
      <c r="H9">
        <f>ROUND(FV(D9/12,E9,0,-C9),2)</f>
        <v>140.55</v>
      </c>
      <c r="I9">
        <f>ROUND(H9-G9,2)</f>
        <v>2.61</v>
      </c>
      <c r="J9" t="str">
        <f>IF(I9&gt;=10,"CHENH NHIEU","CHENH IT")</f>
        <v>CHENH IT</v>
      </c>
      <c r="Y9" t="str">
        <v>Do lech chuan LaiDon</v>
      </c>
      <c r="Z9">
        <f>ROUND(STDEV(F2:F13),2)</f>
        <v>30.64</v>
      </c>
    </row>
    <row r="10">
      <c r="A10" t="str">
        <v>GD09</v>
      </c>
      <c r="B10" t="str">
        <v>VAY</v>
      </c>
      <c r="C10">
        <v>350</v>
      </c>
      <c r="D10">
        <v>0.1</v>
      </c>
      <c r="E10">
        <v>36</v>
      </c>
      <c r="F10">
        <f>ROUND(C10*D10*E10/12,2)</f>
        <v>105</v>
      </c>
      <c r="G10">
        <f>ROUND(C10+F10,2)</f>
        <v>455</v>
      </c>
      <c r="H10">
        <f>ROUND(FV(D10/12,E10,0,-C10),2)</f>
        <v>471.86</v>
      </c>
      <c r="I10">
        <f>ROUND(H10-G10,2)</f>
        <v>16.86</v>
      </c>
      <c r="J10" t="str">
        <f>IF(I10&gt;=10,"CHENH NHIEU","CHENH IT")</f>
        <v>CHENH NHIEU</v>
      </c>
      <c r="Y10" t="str">
        <v>Tong GiaTriKep theo tieu chi W1:W2</v>
      </c>
      <c r="Z10">
        <f>DSUM(A1:J13,"GiaTriKep",W1:W2)</f>
        <v>1495.7799999999997</v>
      </c>
    </row>
    <row r="11">
      <c r="A11" t="str">
        <v>GD10</v>
      </c>
      <c r="B11" t="str">
        <v>VAY</v>
      </c>
      <c r="C11">
        <v>396</v>
      </c>
      <c r="D11">
        <v>0.07</v>
      </c>
      <c r="E11">
        <v>36</v>
      </c>
      <c r="F11">
        <f>ROUND(C11*D11*E11/12,2)</f>
        <v>83.16</v>
      </c>
      <c r="G11">
        <f>ROUND(C11+F11,2)</f>
        <v>479.16</v>
      </c>
      <c r="H11">
        <f>ROUND(FV(D11/12,E11,0,-C11),2)</f>
        <v>488.24</v>
      </c>
      <c r="I11">
        <f>ROUND(H11-G11,2)</f>
        <v>9.08</v>
      </c>
      <c r="J11" t="str">
        <f>IF(I11&gt;=10,"CHENH NHIEU","CHENH IT")</f>
        <v>CHENH IT</v>
      </c>
      <c r="Y11" t="str">
        <v>So dong theo tieu chi W1:W2</v>
      </c>
      <c r="Z11">
        <f>DCOUNT(A1:J13,"GiaTriKep",W1:W2)</f>
        <v>5</v>
      </c>
    </row>
    <row r="12">
      <c r="A12" t="str">
        <v>GD11</v>
      </c>
      <c r="B12" t="str">
        <v>GUI</v>
      </c>
      <c r="C12">
        <v>202</v>
      </c>
      <c r="D12">
        <v>0.06</v>
      </c>
      <c r="E12">
        <v>6</v>
      </c>
      <c r="F12">
        <f>ROUND(C12*D12*E12/12,2)</f>
        <v>6.06</v>
      </c>
      <c r="G12">
        <f>ROUND(C12+F12,2)</f>
        <v>208.06</v>
      </c>
      <c r="H12">
        <f>ROUND(FV(D12/12,E12,0,-C12),2)</f>
        <v>208.14</v>
      </c>
      <c r="I12">
        <f>ROUND(H12-G12,2)</f>
        <v>0.08</v>
      </c>
      <c r="J12" t="str">
        <f>IF(I12&gt;=10,"CHENH NHIEU","CHENH IT")</f>
        <v>CHENH IT</v>
      </c>
      <c r="Y12" t="str">
        <v>Tong GiaTriKep khi Loai = GUI (SUMPRODUCT)</v>
      </c>
      <c r="Z12">
        <f>SUMPRODUCT((B2:B13="GUI")*H2:H13)</f>
        <v>1495.7799999999997</v>
      </c>
    </row>
    <row r="13">
      <c r="A13" t="str">
        <v>GD12</v>
      </c>
      <c r="B13" t="str">
        <v>VAY</v>
      </c>
      <c r="C13">
        <v>83</v>
      </c>
      <c r="D13">
        <v>0.1</v>
      </c>
      <c r="E13">
        <v>12</v>
      </c>
      <c r="F13">
        <f>ROUND(C13*D13*E13/12,2)</f>
        <v>8.3</v>
      </c>
      <c r="G13">
        <f>ROUND(C13+F13,2)</f>
        <v>91.3</v>
      </c>
      <c r="H13">
        <f>ROUND(FV(D13/12,E13,0,-C13),2)</f>
        <v>91.69</v>
      </c>
      <c r="I13">
        <f>ROUND(H13-G13,2)</f>
        <v>0.39</v>
      </c>
      <c r="J13" t="str">
        <f>IF(I13&gt;=10,"CHENH NHIEU","CHENH IT")</f>
        <v>CHENH IT</v>
      </c>
      <c r="Y13" t="str">
        <v>Tong SoTien x LaiSuat</v>
      </c>
      <c r="Z13">
        <f>SUMPRODUCT(C2:C13,D2:D13)</f>
        <v>209.22000000000003</v>
      </c>
    </row>
  </sheetData>
  <ignoredErrors>
    <ignoredError numberStoredAsText="1" sqref="A1:Z13"/>
  </ignoredErrors>
</worksheet>
</file>

<file path=xl/worksheets/sheet41.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35.91</v>
      </c>
      <c r="C2">
        <f>'gdkt11'!F2</f>
      </c>
      <c r="D2">
        <f>IF(ISERROR(C2),LEFT(B2&amp;"",1)="#",IF(ISNUMBER(C2),AND(ISNUMBER(B2),ABS(C2-B2)&lt;=0.000001*MAX(1,ABS(B2))),EXACT(C2&amp;"",B2&amp;"")))</f>
      </c>
      <c r="E2">
        <f>ISERROR(C2)</f>
      </c>
    </row>
    <row r="3">
      <c r="A3" t="str">
        <v>F3</v>
      </c>
      <c r="B3">
        <v>6.12</v>
      </c>
      <c r="C3">
        <f>'gdkt11'!F3</f>
      </c>
      <c r="D3">
        <f>IF(ISERROR(C3),LEFT(B3&amp;"",1)="#",IF(ISNUMBER(C3),AND(ISNUMBER(B3),ABS(C3-B3)&lt;=0.000001*MAX(1,ABS(B3))),EXACT(C3&amp;"",B3&amp;"")))</f>
      </c>
      <c r="E3">
        <f>ISERROR(C3)</f>
      </c>
    </row>
    <row r="4">
      <c r="A4" t="str">
        <v>F4</v>
      </c>
      <c r="B4">
        <v>53.16</v>
      </c>
      <c r="C4">
        <f>'gdkt11'!F4</f>
      </c>
      <c r="D4">
        <f>IF(ISERROR(C4),LEFT(B4&amp;"",1)="#",IF(ISNUMBER(C4),AND(ISNUMBER(B4),ABS(C4-B4)&lt;=0.000001*MAX(1,ABS(B4))),EXACT(C4&amp;"",B4&amp;"")))</f>
      </c>
      <c r="E4">
        <f>ISERROR(C4)</f>
      </c>
    </row>
    <row r="5">
      <c r="A5" t="str">
        <v>F5</v>
      </c>
      <c r="B5">
        <v>33.18</v>
      </c>
      <c r="C5">
        <f>'gdkt11'!F5</f>
      </c>
      <c r="D5">
        <f>IF(ISERROR(C5),LEFT(B5&amp;"",1)="#",IF(ISNUMBER(C5),AND(ISNUMBER(B5),ABS(C5-B5)&lt;=0.000001*MAX(1,ABS(B5))),EXACT(C5&amp;"",B5&amp;"")))</f>
      </c>
      <c r="E5">
        <f>ISERROR(C5)</f>
      </c>
    </row>
    <row r="6">
      <c r="A6" t="str">
        <v>F6</v>
      </c>
      <c r="B6">
        <v>50.76</v>
      </c>
      <c r="C6">
        <f>'gdkt11'!F6</f>
      </c>
      <c r="D6">
        <f>IF(ISERROR(C6),LEFT(B6&amp;"",1)="#",IF(ISNUMBER(C6),AND(ISNUMBER(B6),ABS(C6-B6)&lt;=0.000001*MAX(1,ABS(B6))),EXACT(C6&amp;"",B6&amp;"")))</f>
      </c>
      <c r="E6">
        <f>ISERROR(C6)</f>
      </c>
    </row>
    <row r="7">
      <c r="A7" t="str">
        <v>F7</v>
      </c>
      <c r="B7">
        <v>43.2</v>
      </c>
      <c r="C7">
        <f>'gdkt11'!F7</f>
      </c>
      <c r="D7">
        <f>IF(ISERROR(C7),LEFT(B7&amp;"",1)="#",IF(ISNUMBER(C7),AND(ISNUMBER(B7),ABS(C7-B7)&lt;=0.000001*MAX(1,ABS(B7))),EXACT(C7&amp;"",B7&amp;"")))</f>
      </c>
      <c r="E7">
        <f>ISERROR(C7)</f>
      </c>
    </row>
    <row r="8">
      <c r="A8" t="str">
        <v>F8</v>
      </c>
      <c r="B8">
        <v>22.05</v>
      </c>
      <c r="C8">
        <f>'gdkt11'!F8</f>
      </c>
      <c r="D8">
        <f>IF(ISERROR(C8),LEFT(B8&amp;"",1)="#",IF(ISNUMBER(C8),AND(ISNUMBER(B8),ABS(C8-B8)&lt;=0.000001*MAX(1,ABS(B8))),EXACT(C8&amp;"",B8&amp;"")))</f>
      </c>
      <c r="E8">
        <f>ISERROR(C8)</f>
      </c>
    </row>
    <row r="9">
      <c r="A9" t="str">
        <v>F9</v>
      </c>
      <c r="B9">
        <v>23.94</v>
      </c>
      <c r="C9">
        <f>'gdkt11'!F9</f>
      </c>
      <c r="D9">
        <f>IF(ISERROR(C9),LEFT(B9&amp;"",1)="#",IF(ISNUMBER(C9),AND(ISNUMBER(B9),ABS(C9-B9)&lt;=0.000001*MAX(1,ABS(B9))),EXACT(C9&amp;"",B9&amp;"")))</f>
      </c>
      <c r="E9">
        <f>ISERROR(C9)</f>
      </c>
    </row>
    <row r="10">
      <c r="A10" t="str">
        <v>F10</v>
      </c>
      <c r="B10">
        <v>105</v>
      </c>
      <c r="C10">
        <f>'gdkt11'!F10</f>
      </c>
      <c r="D10">
        <f>IF(ISERROR(C10),LEFT(B10&amp;"",1)="#",IF(ISNUMBER(C10),AND(ISNUMBER(B10),ABS(C10-B10)&lt;=0.000001*MAX(1,ABS(B10))),EXACT(C10&amp;"",B10&amp;"")))</f>
      </c>
      <c r="E10">
        <f>ISERROR(C10)</f>
      </c>
    </row>
    <row r="11">
      <c r="A11" t="str">
        <v>F11</v>
      </c>
      <c r="B11">
        <v>83.16</v>
      </c>
      <c r="C11">
        <f>'gdkt11'!F11</f>
      </c>
      <c r="D11">
        <f>IF(ISERROR(C11),LEFT(B11&amp;"",1)="#",IF(ISNUMBER(C11),AND(ISNUMBER(B11),ABS(C11-B11)&lt;=0.000001*MAX(1,ABS(B11))),EXACT(C11&amp;"",B11&amp;"")))</f>
      </c>
      <c r="E11">
        <f>ISERROR(C11)</f>
      </c>
    </row>
    <row r="12">
      <c r="A12" t="str">
        <v>F12</v>
      </c>
      <c r="B12">
        <v>6.06</v>
      </c>
      <c r="C12">
        <f>'gdkt11'!F12</f>
      </c>
      <c r="D12">
        <f>IF(ISERROR(C12),LEFT(B12&amp;"",1)="#",IF(ISNUMBER(C12),AND(ISNUMBER(B12),ABS(C12-B12)&lt;=0.000001*MAX(1,ABS(B12))),EXACT(C12&amp;"",B12&amp;"")))</f>
      </c>
      <c r="E12">
        <f>ISERROR(C12)</f>
      </c>
    </row>
    <row r="13">
      <c r="A13" t="str">
        <v>F13</v>
      </c>
      <c r="B13">
        <v>8.3</v>
      </c>
      <c r="C13">
        <f>'gdkt11'!F13</f>
      </c>
      <c r="D13">
        <f>IF(ISERROR(C13),LEFT(B13&amp;"",1)="#",IF(ISNUMBER(C13),AND(ISNUMBER(B13),ABS(C13-B13)&lt;=0.000001*MAX(1,ABS(B13))),EXACT(C13&amp;"",B13&amp;"")))</f>
      </c>
      <c r="E13">
        <f>ISERROR(C13)</f>
      </c>
    </row>
    <row r="14">
      <c r="A14" t="str">
        <v>G2</v>
      </c>
      <c r="B14">
        <v>377.91</v>
      </c>
      <c r="C14">
        <f>'gdkt11'!G2</f>
      </c>
      <c r="D14">
        <f>IF(ISERROR(C14),LEFT(B14&amp;"",1)="#",IF(ISNUMBER(C14),AND(ISNUMBER(B14),ABS(C14-B14)&lt;=0.000001*MAX(1,ABS(B14))),EXACT(C14&amp;"",B14&amp;"")))</f>
      </c>
      <c r="E14">
        <f>ISERROR(C14)</f>
      </c>
    </row>
    <row r="15">
      <c r="A15" t="str">
        <v>G3</v>
      </c>
      <c r="B15">
        <v>40.12</v>
      </c>
      <c r="C15">
        <f>'gdkt11'!G3</f>
      </c>
      <c r="D15">
        <f>IF(ISERROR(C15),LEFT(B15&amp;"",1)="#",IF(ISNUMBER(C15),AND(ISNUMBER(B15),ABS(C15-B15)&lt;=0.000001*MAX(1,ABS(B15))),EXACT(C15&amp;"",B15&amp;"")))</f>
      </c>
      <c r="E15">
        <f>ISERROR(C15)</f>
      </c>
    </row>
    <row r="16">
      <c r="A16" t="str">
        <v>G4</v>
      </c>
      <c r="B16">
        <v>496.16</v>
      </c>
      <c r="C16">
        <f>'gdkt11'!G4</f>
      </c>
      <c r="D16">
        <f>IF(ISERROR(C16),LEFT(B16&amp;"",1)="#",IF(ISNUMBER(C16),AND(ISNUMBER(B16),ABS(C16-B16)&lt;=0.000001*MAX(1,ABS(B16))),EXACT(C16&amp;"",B16&amp;"")))</f>
      </c>
      <c r="E16">
        <f>ISERROR(C16)</f>
      </c>
    </row>
    <row r="17">
      <c r="A17" t="str">
        <v>G5</v>
      </c>
      <c r="B17">
        <v>191.18</v>
      </c>
      <c r="C17">
        <f>'gdkt11'!G5</f>
      </c>
      <c r="D17">
        <f>IF(ISERROR(C17),LEFT(B17&amp;"",1)="#",IF(ISNUMBER(C17),AND(ISNUMBER(B17),ABS(C17-B17)&lt;=0.000001*MAX(1,ABS(B17))),EXACT(C17&amp;"",B17&amp;"")))</f>
      </c>
      <c r="E17">
        <f>ISERROR(C17)</f>
      </c>
    </row>
    <row r="18">
      <c r="A18" t="str">
        <v>G6</v>
      </c>
      <c r="B18">
        <v>473.76</v>
      </c>
      <c r="C18">
        <f>'gdkt11'!G6</f>
      </c>
      <c r="D18">
        <f>IF(ISERROR(C18),LEFT(B18&amp;"",1)="#",IF(ISNUMBER(C18),AND(ISNUMBER(B18),ABS(C18-B18)&lt;=0.000001*MAX(1,ABS(B18))),EXACT(C18&amp;"",B18&amp;"")))</f>
      </c>
      <c r="E18">
        <f>ISERROR(C18)</f>
      </c>
    </row>
    <row r="19">
      <c r="A19" t="str">
        <v>G7</v>
      </c>
      <c r="B19">
        <v>163.2</v>
      </c>
      <c r="C19">
        <f>'gdkt11'!G7</f>
      </c>
      <c r="D19">
        <f>IF(ISERROR(C19),LEFT(B19&amp;"",1)="#",IF(ISNUMBER(C19),AND(ISNUMBER(B19),ABS(C19-B19)&lt;=0.000001*MAX(1,ABS(B19))),EXACT(C19&amp;"",B19&amp;"")))</f>
      </c>
      <c r="E19">
        <f>ISERROR(C19)</f>
      </c>
    </row>
    <row r="20">
      <c r="A20" t="str">
        <v>G8</v>
      </c>
      <c r="B20">
        <v>267.05</v>
      </c>
      <c r="C20">
        <f>'gdkt11'!G8</f>
      </c>
      <c r="D20">
        <f>IF(ISERROR(C20),LEFT(B20&amp;"",1)="#",IF(ISNUMBER(C20),AND(ISNUMBER(B20),ABS(C20-B20)&lt;=0.000001*MAX(1,ABS(B20))),EXACT(C20&amp;"",B20&amp;"")))</f>
      </c>
      <c r="E20">
        <f>ISERROR(C20)</f>
      </c>
    </row>
    <row r="21">
      <c r="A21" t="str">
        <v>G9</v>
      </c>
      <c r="B21">
        <v>137.94</v>
      </c>
      <c r="C21">
        <f>'gdkt11'!G9</f>
      </c>
      <c r="D21">
        <f>IF(ISERROR(C21),LEFT(B21&amp;"",1)="#",IF(ISNUMBER(C21),AND(ISNUMBER(B21),ABS(C21-B21)&lt;=0.000001*MAX(1,ABS(B21))),EXACT(C21&amp;"",B21&amp;"")))</f>
      </c>
      <c r="E21">
        <f>ISERROR(C21)</f>
      </c>
    </row>
    <row r="22">
      <c r="A22" t="str">
        <v>G10</v>
      </c>
      <c r="B22">
        <v>455</v>
      </c>
      <c r="C22">
        <f>'gdkt11'!G10</f>
      </c>
      <c r="D22">
        <f>IF(ISERROR(C22),LEFT(B22&amp;"",1)="#",IF(ISNUMBER(C22),AND(ISNUMBER(B22),ABS(C22-B22)&lt;=0.000001*MAX(1,ABS(B22))),EXACT(C22&amp;"",B22&amp;"")))</f>
      </c>
      <c r="E22">
        <f>ISERROR(C22)</f>
      </c>
    </row>
    <row r="23">
      <c r="A23" t="str">
        <v>G11</v>
      </c>
      <c r="B23">
        <v>479.16</v>
      </c>
      <c r="C23">
        <f>'gdkt11'!G11</f>
      </c>
      <c r="D23">
        <f>IF(ISERROR(C23),LEFT(B23&amp;"",1)="#",IF(ISNUMBER(C23),AND(ISNUMBER(B23),ABS(C23-B23)&lt;=0.000001*MAX(1,ABS(B23))),EXACT(C23&amp;"",B23&amp;"")))</f>
      </c>
      <c r="E23">
        <f>ISERROR(C23)</f>
      </c>
    </row>
    <row r="24">
      <c r="A24" t="str">
        <v>G12</v>
      </c>
      <c r="B24">
        <v>208.06</v>
      </c>
      <c r="C24">
        <f>'gdkt11'!G12</f>
      </c>
      <c r="D24">
        <f>IF(ISERROR(C24),LEFT(B24&amp;"",1)="#",IF(ISNUMBER(C24),AND(ISNUMBER(B24),ABS(C24-B24)&lt;=0.000001*MAX(1,ABS(B24))),EXACT(C24&amp;"",B24&amp;"")))</f>
      </c>
      <c r="E24">
        <f>ISERROR(C24)</f>
      </c>
    </row>
    <row r="25">
      <c r="A25" t="str">
        <v>G13</v>
      </c>
      <c r="B25">
        <v>91.3</v>
      </c>
      <c r="C25">
        <f>'gdkt11'!G13</f>
      </c>
      <c r="D25">
        <f>IF(ISERROR(C25),LEFT(B25&amp;"",1)="#",IF(ISNUMBER(C25),AND(ISNUMBER(B25),ABS(C25-B25)&lt;=0.000001*MAX(1,ABS(B25))),EXACT(C25&amp;"",B25&amp;"")))</f>
      </c>
      <c r="E25">
        <f>ISERROR(C25)</f>
      </c>
    </row>
    <row r="26">
      <c r="A26" t="str">
        <v>H2</v>
      </c>
      <c r="B26">
        <v>379.75</v>
      </c>
      <c r="C26">
        <f>'gdkt11'!H2</f>
      </c>
      <c r="D26">
        <f>IF(ISERROR(C26),LEFT(B26&amp;"",1)="#",IF(ISNUMBER(C26),AND(ISNUMBER(B26),ABS(C26-B26)&lt;=0.000001*MAX(1,ABS(B26))),EXACT(C26&amp;"",B26&amp;"")))</f>
      </c>
      <c r="E26">
        <f>ISERROR(C26)</f>
      </c>
    </row>
    <row r="27">
      <c r="A27" t="str">
        <v>H3</v>
      </c>
      <c r="B27">
        <v>40.69</v>
      </c>
      <c r="C27">
        <f>'gdkt11'!H3</f>
      </c>
      <c r="D27">
        <f>IF(ISERROR(C27),LEFT(B27&amp;"",1)="#",IF(ISNUMBER(C27),AND(ISNUMBER(B27),ABS(C27-B27)&lt;=0.000001*MAX(1,ABS(B27))),EXACT(C27&amp;"",B27&amp;"")))</f>
      </c>
      <c r="E27">
        <f>ISERROR(C27)</f>
      </c>
    </row>
    <row r="28">
      <c r="A28" t="str">
        <v>H4</v>
      </c>
      <c r="B28">
        <v>499.33</v>
      </c>
      <c r="C28">
        <f>'gdkt11'!H4</f>
      </c>
      <c r="D28">
        <f>IF(ISERROR(C28),LEFT(B28&amp;"",1)="#",IF(ISNUMBER(C28),AND(ISNUMBER(B28),ABS(C28-B28)&lt;=0.000001*MAX(1,ABS(B28))),EXACT(C28&amp;"",B28&amp;"")))</f>
      </c>
      <c r="E28">
        <f>ISERROR(C28)</f>
      </c>
    </row>
    <row r="29">
      <c r="A29" t="str">
        <v>H5</v>
      </c>
      <c r="B29">
        <v>194.8</v>
      </c>
      <c r="C29">
        <f>'gdkt11'!H5</f>
      </c>
      <c r="D29">
        <f>IF(ISERROR(C29),LEFT(B29&amp;"",1)="#",IF(ISNUMBER(C29),AND(ISNUMBER(B29),ABS(C29-B29)&lt;=0.000001*MAX(1,ABS(B29))),EXACT(C29&amp;"",B29&amp;"")))</f>
      </c>
      <c r="E29">
        <f>ISERROR(C29)</f>
      </c>
    </row>
    <row r="30">
      <c r="A30" t="str">
        <v>H6</v>
      </c>
      <c r="B30">
        <v>476.79</v>
      </c>
      <c r="C30">
        <f>'gdkt11'!H6</f>
      </c>
      <c r="D30">
        <f>IF(ISERROR(C30),LEFT(B30&amp;"",1)="#",IF(ISNUMBER(C30),AND(ISNUMBER(B30),ABS(C30-B30)&lt;=0.000001*MAX(1,ABS(B30))),EXACT(C30&amp;"",B30&amp;"")))</f>
      </c>
      <c r="E30">
        <f>ISERROR(C30)</f>
      </c>
    </row>
    <row r="31">
      <c r="A31" t="str">
        <v>H7</v>
      </c>
      <c r="B31">
        <v>171.69</v>
      </c>
      <c r="C31">
        <f>'gdkt11'!H7</f>
      </c>
      <c r="D31">
        <f>IF(ISERROR(C31),LEFT(B31&amp;"",1)="#",IF(ISNUMBER(C31),AND(ISNUMBER(B31),ABS(C31-B31)&lt;=0.000001*MAX(1,ABS(B31))),EXACT(C31&amp;"",B31&amp;"")))</f>
      </c>
      <c r="E31">
        <f>ISERROR(C31)</f>
      </c>
    </row>
    <row r="32">
      <c r="A32" t="str">
        <v>H8</v>
      </c>
      <c r="B32">
        <v>268.01</v>
      </c>
      <c r="C32">
        <f>'gdkt11'!H8</f>
      </c>
      <c r="D32">
        <f>IF(ISERROR(C32),LEFT(B32&amp;"",1)="#",IF(ISNUMBER(C32),AND(ISNUMBER(B32),ABS(C32-B32)&lt;=0.000001*MAX(1,ABS(B32))),EXACT(C32&amp;"",B32&amp;"")))</f>
      </c>
      <c r="E32">
        <f>ISERROR(C32)</f>
      </c>
    </row>
    <row r="33">
      <c r="A33" t="str">
        <v>H9</v>
      </c>
      <c r="B33">
        <v>140.55</v>
      </c>
      <c r="C33">
        <f>'gdkt11'!H9</f>
      </c>
      <c r="D33">
        <f>IF(ISERROR(C33),LEFT(B33&amp;"",1)="#",IF(ISNUMBER(C33),AND(ISNUMBER(B33),ABS(C33-B33)&lt;=0.000001*MAX(1,ABS(B33))),EXACT(C33&amp;"",B33&amp;"")))</f>
      </c>
      <c r="E33">
        <f>ISERROR(C33)</f>
      </c>
    </row>
    <row r="34">
      <c r="A34" t="str">
        <v>H10</v>
      </c>
      <c r="B34">
        <v>471.86</v>
      </c>
      <c r="C34">
        <f>'gdkt11'!H10</f>
      </c>
      <c r="D34">
        <f>IF(ISERROR(C34),LEFT(B34&amp;"",1)="#",IF(ISNUMBER(C34),AND(ISNUMBER(B34),ABS(C34-B34)&lt;=0.000001*MAX(1,ABS(B34))),EXACT(C34&amp;"",B34&amp;"")))</f>
      </c>
      <c r="E34">
        <f>ISERROR(C34)</f>
      </c>
    </row>
    <row r="35">
      <c r="A35" t="str">
        <v>H11</v>
      </c>
      <c r="B35">
        <v>488.24</v>
      </c>
      <c r="C35">
        <f>'gdkt11'!H11</f>
      </c>
      <c r="D35">
        <f>IF(ISERROR(C35),LEFT(B35&amp;"",1)="#",IF(ISNUMBER(C35),AND(ISNUMBER(B35),ABS(C35-B35)&lt;=0.000001*MAX(1,ABS(B35))),EXACT(C35&amp;"",B35&amp;"")))</f>
      </c>
      <c r="E35">
        <f>ISERROR(C35)</f>
      </c>
    </row>
    <row r="36">
      <c r="A36" t="str">
        <v>H12</v>
      </c>
      <c r="B36">
        <v>208.14</v>
      </c>
      <c r="C36">
        <f>'gdkt11'!H12</f>
      </c>
      <c r="D36">
        <f>IF(ISERROR(C36),LEFT(B36&amp;"",1)="#",IF(ISNUMBER(C36),AND(ISNUMBER(B36),ABS(C36-B36)&lt;=0.000001*MAX(1,ABS(B36))),EXACT(C36&amp;"",B36&amp;"")))</f>
      </c>
      <c r="E36">
        <f>ISERROR(C36)</f>
      </c>
    </row>
    <row r="37">
      <c r="A37" t="str">
        <v>H13</v>
      </c>
      <c r="B37">
        <v>91.69</v>
      </c>
      <c r="C37">
        <f>'gdkt11'!H13</f>
      </c>
      <c r="D37">
        <f>IF(ISERROR(C37),LEFT(B37&amp;"",1)="#",IF(ISNUMBER(C37),AND(ISNUMBER(B37),ABS(C37-B37)&lt;=0.000001*MAX(1,ABS(B37))),EXACT(C37&amp;"",B37&amp;"")))</f>
      </c>
      <c r="E37">
        <f>ISERROR(C37)</f>
      </c>
    </row>
    <row r="38">
      <c r="A38" t="str">
        <v>I2</v>
      </c>
      <c r="B38">
        <v>1.84</v>
      </c>
      <c r="C38">
        <f>'gdkt11'!I2</f>
      </c>
      <c r="D38">
        <f>IF(ISERROR(C38),LEFT(B38&amp;"",1)="#",IF(ISNUMBER(C38),AND(ISNUMBER(B38),ABS(C38-B38)&lt;=0.000001*MAX(1,ABS(B38))),EXACT(C38&amp;"",B38&amp;"")))</f>
      </c>
      <c r="E38">
        <f>ISERROR(C38)</f>
      </c>
    </row>
    <row r="39">
      <c r="A39" t="str">
        <v>I3</v>
      </c>
      <c r="B39">
        <v>0.57</v>
      </c>
      <c r="C39">
        <f>'gdkt11'!I3</f>
      </c>
      <c r="D39">
        <f>IF(ISERROR(C39),LEFT(B39&amp;"",1)="#",IF(ISNUMBER(C39),AND(ISNUMBER(B39),ABS(C39-B39)&lt;=0.000001*MAX(1,ABS(B39))),EXACT(C39&amp;"",B39&amp;"")))</f>
      </c>
      <c r="E39">
        <f>ISERROR(C39)</f>
      </c>
    </row>
    <row r="40">
      <c r="A40" t="str">
        <v>I4</v>
      </c>
      <c r="B40">
        <v>3.17</v>
      </c>
      <c r="C40">
        <f>'gdkt11'!I4</f>
      </c>
      <c r="D40">
        <f>IF(ISERROR(C40),LEFT(B40&amp;"",1)="#",IF(ISNUMBER(C40),AND(ISNUMBER(B40),ABS(C40-B40)&lt;=0.000001*MAX(1,ABS(B40))),EXACT(C40&amp;"",B40&amp;"")))</f>
      </c>
      <c r="E40">
        <f>ISERROR(C40)</f>
      </c>
    </row>
    <row r="41">
      <c r="A41" t="str">
        <v>I5</v>
      </c>
      <c r="B41">
        <v>3.62</v>
      </c>
      <c r="C41">
        <f>'gdkt11'!I5</f>
      </c>
      <c r="D41">
        <f>IF(ISERROR(C41),LEFT(B41&amp;"",1)="#",IF(ISNUMBER(C41),AND(ISNUMBER(B41),ABS(C41-B41)&lt;=0.000001*MAX(1,ABS(B41))),EXACT(C41&amp;"",B41&amp;"")))</f>
      </c>
      <c r="E41">
        <f>ISERROR(C41)</f>
      </c>
    </row>
    <row r="42">
      <c r="A42" t="str">
        <v>I6</v>
      </c>
      <c r="B42">
        <v>3.03</v>
      </c>
      <c r="C42">
        <f>'gdkt11'!I6</f>
      </c>
      <c r="D42">
        <f>IF(ISERROR(C42),LEFT(B42&amp;"",1)="#",IF(ISNUMBER(C42),AND(ISNUMBER(B42),ABS(C42-B42)&lt;=0.000001*MAX(1,ABS(B42))),EXACT(C42&amp;"",B42&amp;"")))</f>
      </c>
      <c r="E42">
        <f>ISERROR(C42)</f>
      </c>
    </row>
    <row r="43">
      <c r="A43" t="str">
        <v>I7</v>
      </c>
      <c r="B43">
        <v>8.49</v>
      </c>
      <c r="C43">
        <f>'gdkt11'!I7</f>
      </c>
      <c r="D43">
        <f>IF(ISERROR(C43),LEFT(B43&amp;"",1)="#",IF(ISNUMBER(C43),AND(ISNUMBER(B43),ABS(C43-B43)&lt;=0.000001*MAX(1,ABS(B43))),EXACT(C43&amp;"",B43&amp;"")))</f>
      </c>
      <c r="E43">
        <f>ISERROR(C43)</f>
      </c>
    </row>
    <row r="44">
      <c r="A44" t="str">
        <v>I8</v>
      </c>
      <c r="B44">
        <v>0.96</v>
      </c>
      <c r="C44">
        <f>'gdkt11'!I8</f>
      </c>
      <c r="D44">
        <f>IF(ISERROR(C44),LEFT(B44&amp;"",1)="#",IF(ISNUMBER(C44),AND(ISNUMBER(B44),ABS(C44-B44)&lt;=0.000001*MAX(1,ABS(B44))),EXACT(C44&amp;"",B44&amp;"")))</f>
      </c>
      <c r="E44">
        <f>ISERROR(C44)</f>
      </c>
    </row>
    <row r="45">
      <c r="A45" t="str">
        <v>I9</v>
      </c>
      <c r="B45">
        <v>2.61</v>
      </c>
      <c r="C45">
        <f>'gdkt11'!I9</f>
      </c>
      <c r="D45">
        <f>IF(ISERROR(C45),LEFT(B45&amp;"",1)="#",IF(ISNUMBER(C45),AND(ISNUMBER(B45),ABS(C45-B45)&lt;=0.000001*MAX(1,ABS(B45))),EXACT(C45&amp;"",B45&amp;"")))</f>
      </c>
      <c r="E45">
        <f>ISERROR(C45)</f>
      </c>
    </row>
    <row r="46">
      <c r="A46" t="str">
        <v>I10</v>
      </c>
      <c r="B46">
        <v>16.86</v>
      </c>
      <c r="C46">
        <f>'gdkt11'!I10</f>
      </c>
      <c r="D46">
        <f>IF(ISERROR(C46),LEFT(B46&amp;"",1)="#",IF(ISNUMBER(C46),AND(ISNUMBER(B46),ABS(C46-B46)&lt;=0.000001*MAX(1,ABS(B46))),EXACT(C46&amp;"",B46&amp;"")))</f>
      </c>
      <c r="E46">
        <f>ISERROR(C46)</f>
      </c>
    </row>
    <row r="47">
      <c r="A47" t="str">
        <v>I11</v>
      </c>
      <c r="B47">
        <v>9.08</v>
      </c>
      <c r="C47">
        <f>'gdkt11'!I11</f>
      </c>
      <c r="D47">
        <f>IF(ISERROR(C47),LEFT(B47&amp;"",1)="#",IF(ISNUMBER(C47),AND(ISNUMBER(B47),ABS(C47-B47)&lt;=0.000001*MAX(1,ABS(B47))),EXACT(C47&amp;"",B47&amp;"")))</f>
      </c>
      <c r="E47">
        <f>ISERROR(C47)</f>
      </c>
    </row>
    <row r="48">
      <c r="A48" t="str">
        <v>I12</v>
      </c>
      <c r="B48">
        <v>0.08</v>
      </c>
      <c r="C48">
        <f>'gdkt11'!I12</f>
      </c>
      <c r="D48">
        <f>IF(ISERROR(C48),LEFT(B48&amp;"",1)="#",IF(ISNUMBER(C48),AND(ISNUMBER(B48),ABS(C48-B48)&lt;=0.000001*MAX(1,ABS(B48))),EXACT(C48&amp;"",B48&amp;"")))</f>
      </c>
      <c r="E48">
        <f>ISERROR(C48)</f>
      </c>
    </row>
    <row r="49">
      <c r="A49" t="str">
        <v>I13</v>
      </c>
      <c r="B49">
        <v>0.39</v>
      </c>
      <c r="C49">
        <f>'gdkt11'!I13</f>
      </c>
      <c r="D49">
        <f>IF(ISERROR(C49),LEFT(B49&amp;"",1)="#",IF(ISNUMBER(C49),AND(ISNUMBER(B49),ABS(C49-B49)&lt;=0.000001*MAX(1,ABS(B49))),EXACT(C49&amp;"",B49&amp;"")))</f>
      </c>
      <c r="E49">
        <f>ISERROR(C49)</f>
      </c>
    </row>
    <row r="50">
      <c r="A50" t="str">
        <v>J2</v>
      </c>
      <c r="B50" t="str">
        <v>CHENH IT</v>
      </c>
      <c r="C50">
        <f>'gdkt11'!J2</f>
      </c>
      <c r="D50">
        <f>IF(ISERROR(C50),LEFT(B50&amp;"",1)="#",IF(ISNUMBER(C50),AND(ISNUMBER(B50),ABS(C50-B50)&lt;=0.000001*MAX(1,ABS(B50))),EXACT(C50&amp;"",B50&amp;"")))</f>
      </c>
      <c r="E50">
        <f>ISERROR(C50)</f>
      </c>
    </row>
    <row r="51">
      <c r="A51" t="str">
        <v>J3</v>
      </c>
      <c r="B51" t="str">
        <v>CHENH IT</v>
      </c>
      <c r="C51">
        <f>'gdkt11'!J3</f>
      </c>
      <c r="D51">
        <f>IF(ISERROR(C51),LEFT(B51&amp;"",1)="#",IF(ISNUMBER(C51),AND(ISNUMBER(B51),ABS(C51-B51)&lt;=0.000001*MAX(1,ABS(B51))),EXACT(C51&amp;"",B51&amp;"")))</f>
      </c>
      <c r="E51">
        <f>ISERROR(C51)</f>
      </c>
    </row>
    <row r="52">
      <c r="A52" t="str">
        <v>J4</v>
      </c>
      <c r="B52" t="str">
        <v>CHENH IT</v>
      </c>
      <c r="C52">
        <f>'gdkt11'!J4</f>
      </c>
      <c r="D52">
        <f>IF(ISERROR(C52),LEFT(B52&amp;"",1)="#",IF(ISNUMBER(C52),AND(ISNUMBER(B52),ABS(C52-B52)&lt;=0.000001*MAX(1,ABS(B52))),EXACT(C52&amp;"",B52&amp;"")))</f>
      </c>
      <c r="E52">
        <f>ISERROR(C52)</f>
      </c>
    </row>
    <row r="53">
      <c r="A53" t="str">
        <v>J5</v>
      </c>
      <c r="B53" t="str">
        <v>CHENH IT</v>
      </c>
      <c r="C53">
        <f>'gdkt11'!J5</f>
      </c>
      <c r="D53">
        <f>IF(ISERROR(C53),LEFT(B53&amp;"",1)="#",IF(ISNUMBER(C53),AND(ISNUMBER(B53),ABS(C53-B53)&lt;=0.000001*MAX(1,ABS(B53))),EXACT(C53&amp;"",B53&amp;"")))</f>
      </c>
      <c r="E53">
        <f>ISERROR(C53)</f>
      </c>
    </row>
    <row r="54">
      <c r="A54" t="str">
        <v>J6</v>
      </c>
      <c r="B54" t="str">
        <v>CHENH IT</v>
      </c>
      <c r="C54">
        <f>'gdkt11'!J6</f>
      </c>
      <c r="D54">
        <f>IF(ISERROR(C54),LEFT(B54&amp;"",1)="#",IF(ISNUMBER(C54),AND(ISNUMBER(B54),ABS(C54-B54)&lt;=0.000001*MAX(1,ABS(B54))),EXACT(C54&amp;"",B54&amp;"")))</f>
      </c>
      <c r="E54">
        <f>ISERROR(C54)</f>
      </c>
    </row>
    <row r="55">
      <c r="A55" t="str">
        <v>J7</v>
      </c>
      <c r="B55" t="str">
        <v>CHENH IT</v>
      </c>
      <c r="C55">
        <f>'gdkt11'!J7</f>
      </c>
      <c r="D55">
        <f>IF(ISERROR(C55),LEFT(B55&amp;"",1)="#",IF(ISNUMBER(C55),AND(ISNUMBER(B55),ABS(C55-B55)&lt;=0.000001*MAX(1,ABS(B55))),EXACT(C55&amp;"",B55&amp;"")))</f>
      </c>
      <c r="E55">
        <f>ISERROR(C55)</f>
      </c>
    </row>
    <row r="56">
      <c r="A56" t="str">
        <v>J8</v>
      </c>
      <c r="B56" t="str">
        <v>CHENH IT</v>
      </c>
      <c r="C56">
        <f>'gdkt11'!J8</f>
      </c>
      <c r="D56">
        <f>IF(ISERROR(C56),LEFT(B56&amp;"",1)="#",IF(ISNUMBER(C56),AND(ISNUMBER(B56),ABS(C56-B56)&lt;=0.000001*MAX(1,ABS(B56))),EXACT(C56&amp;"",B56&amp;"")))</f>
      </c>
      <c r="E56">
        <f>ISERROR(C56)</f>
      </c>
    </row>
    <row r="57">
      <c r="A57" t="str">
        <v>J9</v>
      </c>
      <c r="B57" t="str">
        <v>CHENH IT</v>
      </c>
      <c r="C57">
        <f>'gdkt11'!J9</f>
      </c>
      <c r="D57">
        <f>IF(ISERROR(C57),LEFT(B57&amp;"",1)="#",IF(ISNUMBER(C57),AND(ISNUMBER(B57),ABS(C57-B57)&lt;=0.000001*MAX(1,ABS(B57))),EXACT(C57&amp;"",B57&amp;"")))</f>
      </c>
      <c r="E57">
        <f>ISERROR(C57)</f>
      </c>
    </row>
    <row r="58">
      <c r="A58" t="str">
        <v>J10</v>
      </c>
      <c r="B58" t="str">
        <v>CHENH NHIEU</v>
      </c>
      <c r="C58">
        <f>'gdkt11'!J10</f>
      </c>
      <c r="D58">
        <f>IF(ISERROR(C58),LEFT(B58&amp;"",1)="#",IF(ISNUMBER(C58),AND(ISNUMBER(B58),ABS(C58-B58)&lt;=0.000001*MAX(1,ABS(B58))),EXACT(C58&amp;"",B58&amp;"")))</f>
      </c>
      <c r="E58">
        <f>ISERROR(C58)</f>
      </c>
    </row>
    <row r="59">
      <c r="A59" t="str">
        <v>J11</v>
      </c>
      <c r="B59" t="str">
        <v>CHENH IT</v>
      </c>
      <c r="C59">
        <f>'gdkt11'!J11</f>
      </c>
      <c r="D59">
        <f>IF(ISERROR(C59),LEFT(B59&amp;"",1)="#",IF(ISNUMBER(C59),AND(ISNUMBER(B59),ABS(C59-B59)&lt;=0.000001*MAX(1,ABS(B59))),EXACT(C59&amp;"",B59&amp;"")))</f>
      </c>
      <c r="E59">
        <f>ISERROR(C59)</f>
      </c>
    </row>
    <row r="60">
      <c r="A60" t="str">
        <v>J12</v>
      </c>
      <c r="B60" t="str">
        <v>CHENH IT</v>
      </c>
      <c r="C60">
        <f>'gdkt11'!J12</f>
      </c>
      <c r="D60">
        <f>IF(ISERROR(C60),LEFT(B60&amp;"",1)="#",IF(ISNUMBER(C60),AND(ISNUMBER(B60),ABS(C60-B60)&lt;=0.000001*MAX(1,ABS(B60))),EXACT(C60&amp;"",B60&amp;"")))</f>
      </c>
      <c r="E60">
        <f>ISERROR(C60)</f>
      </c>
    </row>
    <row r="61">
      <c r="A61" t="str">
        <v>J13</v>
      </c>
      <c r="B61" t="str">
        <v>CHENH IT</v>
      </c>
      <c r="C61">
        <f>'gdkt11'!J13</f>
      </c>
      <c r="D61">
        <f>IF(ISERROR(C61),LEFT(B61&amp;"",1)="#",IF(ISNUMBER(C61),AND(ISNUMBER(B61),ABS(C61-B61)&lt;=0.000001*MAX(1,ABS(B61))),EXACT(C61&amp;"",B61&amp;"")))</f>
      </c>
      <c r="E61">
        <f>ISERROR(C61)</f>
      </c>
    </row>
    <row r="62">
      <c r="A62" t="str">
        <v>Z2</v>
      </c>
      <c r="B62" t="str">
        <v>GD03</v>
      </c>
      <c r="C62">
        <f>'gdkt11'!Z2</f>
      </c>
      <c r="D62">
        <f>IF(ISERROR(C62),LEFT(B62&amp;"",1)="#",IF(ISNUMBER(C62),AND(ISNUMBER(B62),ABS(C62-B62)&lt;=0.000001*MAX(1,ABS(B62))),EXACT(C62&amp;"",B62&amp;"")))</f>
      </c>
      <c r="E62">
        <f>ISERROR(C62)</f>
      </c>
    </row>
    <row r="63">
      <c r="A63" t="str">
        <v>Z3</v>
      </c>
      <c r="B63">
        <v>1495.7799999999997</v>
      </c>
      <c r="C63">
        <f>'gdkt11'!Z3</f>
      </c>
      <c r="D63">
        <f>IF(ISERROR(C63),LEFT(B63&amp;"",1)="#",IF(ISNUMBER(C63),AND(ISNUMBER(B63),ABS(C63-B63)&lt;=0.000001*MAX(1,ABS(B63))),EXACT(C63&amp;"",B63&amp;"")))</f>
      </c>
      <c r="E63">
        <f>ISERROR(C63)</f>
      </c>
    </row>
    <row r="64">
      <c r="A64" t="str">
        <v>Z4</v>
      </c>
      <c r="B64">
        <v>6</v>
      </c>
      <c r="C64">
        <f>'gdkt11'!Z4</f>
      </c>
      <c r="D64">
        <f>IF(ISERROR(C64),LEFT(B64&amp;"",1)="#",IF(ISNUMBER(C64),AND(ISNUMBER(B64),ABS(C64-B64)&lt;=0.000001*MAX(1,ABS(B64))),EXACT(C64&amp;"",B64&amp;"")))</f>
      </c>
      <c r="E64">
        <f>ISERROR(C64)</f>
      </c>
    </row>
    <row r="65">
      <c r="A65" t="str">
        <v>Z5</v>
      </c>
      <c r="B65">
        <v>47.10285714285714</v>
      </c>
      <c r="C65">
        <f>'gdkt11'!Z5</f>
      </c>
      <c r="D65">
        <f>IF(ISERROR(C65),LEFT(B65&amp;"",1)="#",IF(ISNUMBER(C65),AND(ISNUMBER(B65),ABS(C65-B65)&lt;=0.000001*MAX(1,ABS(B65))),EXACT(C65&amp;"",B65&amp;"")))</f>
      </c>
      <c r="E65">
        <f>ISERROR(C65)</f>
      </c>
    </row>
    <row r="66">
      <c r="A66" t="str">
        <v>Z6</v>
      </c>
      <c r="B66">
        <v>3.17</v>
      </c>
      <c r="C66">
        <f>'gdkt11'!Z6</f>
      </c>
      <c r="D66">
        <f>IF(ISERROR(C66),LEFT(B66&amp;"",1)="#",IF(ISNUMBER(C66),AND(ISNUMBER(B66),ABS(C66-B66)&lt;=0.000001*MAX(1,ABS(B66))),EXACT(C66&amp;"",B66&amp;"")))</f>
      </c>
      <c r="E66">
        <f>ISERROR(C66)</f>
      </c>
    </row>
    <row r="67">
      <c r="A67" t="str">
        <v>Z7</v>
      </c>
      <c r="B67">
        <v>238.075</v>
      </c>
      <c r="C67">
        <f>'gdkt11'!Z7</f>
      </c>
      <c r="D67">
        <f>IF(ISERROR(C67),LEFT(B67&amp;"",1)="#",IF(ISNUMBER(C67),AND(ISNUMBER(B67),ABS(C67-B67)&lt;=0.000001*MAX(1,ABS(B67))),EXACT(C67&amp;"",B67&amp;"")))</f>
      </c>
      <c r="E67">
        <f>ISERROR(C67)</f>
      </c>
    </row>
    <row r="68">
      <c r="A68" t="str">
        <v>Z8</v>
      </c>
      <c r="B68">
        <v>488.24</v>
      </c>
      <c r="C68">
        <f>'gdkt11'!Z8</f>
      </c>
      <c r="D68">
        <f>IF(ISERROR(C68),LEFT(B68&amp;"",1)="#",IF(ISNUMBER(C68),AND(ISNUMBER(B68),ABS(C68-B68)&lt;=0.000001*MAX(1,ABS(B68))),EXACT(C68&amp;"",B68&amp;"")))</f>
      </c>
      <c r="E68">
        <f>ISERROR(C68)</f>
      </c>
    </row>
    <row r="69">
      <c r="A69" t="str">
        <v>Z9</v>
      </c>
      <c r="B69">
        <v>30.64</v>
      </c>
      <c r="C69">
        <f>'gdkt11'!Z9</f>
      </c>
      <c r="D69">
        <f>IF(ISERROR(C69),LEFT(B69&amp;"",1)="#",IF(ISNUMBER(C69),AND(ISNUMBER(B69),ABS(C69-B69)&lt;=0.000001*MAX(1,ABS(B69))),EXACT(C69&amp;"",B69&amp;"")))</f>
      </c>
      <c r="E69">
        <f>ISERROR(C69)</f>
      </c>
    </row>
    <row r="70">
      <c r="A70" t="str">
        <v>Z10</v>
      </c>
      <c r="B70">
        <v>1495.7799999999997</v>
      </c>
      <c r="C70">
        <f>'gdkt11'!Z10</f>
      </c>
      <c r="D70">
        <f>IF(ISERROR(C70),LEFT(B70&amp;"",1)="#",IF(ISNUMBER(C70),AND(ISNUMBER(B70),ABS(C70-B70)&lt;=0.000001*MAX(1,ABS(B70))),EXACT(C70&amp;"",B70&amp;"")))</f>
      </c>
      <c r="E70">
        <f>ISERROR(C70)</f>
      </c>
    </row>
    <row r="71">
      <c r="A71" t="str">
        <v>Z11</v>
      </c>
      <c r="B71">
        <v>5</v>
      </c>
      <c r="C71">
        <f>'gdkt11'!Z11</f>
      </c>
      <c r="D71">
        <f>IF(ISERROR(C71),LEFT(B71&amp;"",1)="#",IF(ISNUMBER(C71),AND(ISNUMBER(B71),ABS(C71-B71)&lt;=0.000001*MAX(1,ABS(B71))),EXACT(C71&amp;"",B71&amp;"")))</f>
      </c>
      <c r="E71">
        <f>ISERROR(C71)</f>
      </c>
    </row>
    <row r="72">
      <c r="A72" t="str">
        <v>Z12</v>
      </c>
      <c r="B72">
        <v>1495.7799999999997</v>
      </c>
      <c r="C72">
        <f>'gdkt11'!Z12</f>
      </c>
      <c r="D72">
        <f>IF(ISERROR(C72),LEFT(B72&amp;"",1)="#",IF(ISNUMBER(C72),AND(ISNUMBER(B72),ABS(C72-B72)&lt;=0.000001*MAX(1,ABS(B72))),EXACT(C72&amp;"",B72&amp;"")))</f>
      </c>
      <c r="E72">
        <f>ISERROR(C72)</f>
      </c>
    </row>
    <row r="73">
      <c r="A73" t="str">
        <v>Z13</v>
      </c>
      <c r="B73">
        <v>209.22000000000003</v>
      </c>
      <c r="C73">
        <f>'gdkt11'!Z13</f>
      </c>
      <c r="D73">
        <f>IF(ISERROR(C73),LEFT(B73&amp;"",1)="#",IF(ISNUMBER(C73),AND(ISNUMBER(B73),ABS(C73-B73)&lt;=0.000001*MAX(1,ABS(B73))),EXACT(C73&amp;"",B73&amp;"")))</f>
      </c>
      <c r="E73">
        <f>ISERROR(C73)</f>
      </c>
    </row>
  </sheetData>
  <ignoredErrors>
    <ignoredError numberStoredAsText="1" sqref="A1:E73"/>
  </ignoredErrors>
</worksheet>
</file>

<file path=xl/worksheets/sheet4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CT</v>
      </c>
      <c r="C1" t="str">
        <v>KhoiLuong</v>
      </c>
      <c r="D1" t="str">
        <v>TheTich</v>
      </c>
      <c r="E1" t="str">
        <v>Loai</v>
      </c>
      <c r="F1" t="str">
        <v>STT</v>
      </c>
      <c r="G1" t="str">
        <v>M</v>
      </c>
      <c r="H1" t="str">
        <v>SoMol</v>
      </c>
      <c r="I1" t="str">
        <v>CM</v>
      </c>
      <c r="J1" t="str">
        <v>pH</v>
      </c>
      <c r="K1" t="str">
        <v>TinhChat</v>
      </c>
      <c r="R1" t="str">
        <v>CT</v>
      </c>
      <c r="S1" t="str">
        <v>KhoiLuongMol</v>
      </c>
      <c r="W1" t="str">
        <v>Loai</v>
      </c>
      <c r="Y1" t="str">
        <v>TongHop</v>
      </c>
      <c r="Z1" t="str">
        <v>KetQua</v>
      </c>
    </row>
    <row r="2">
      <c r="A2" t="str">
        <v>AX01</v>
      </c>
      <c r="B2" t="str">
        <v>HNO3</v>
      </c>
      <c r="C2">
        <v>9</v>
      </c>
      <c r="D2">
        <v>250</v>
      </c>
      <c r="E2" t="str">
        <f>LEFT(A2,2)</f>
        <v>AX</v>
      </c>
      <c r="F2">
        <f>VALUE(RIGHT(A2,2))</f>
        <v>1</v>
      </c>
      <c r="G2">
        <f>VLOOKUP(B2,$R$2:$S$7,2,FALSE)</f>
        <v>63</v>
      </c>
      <c r="H2">
        <f>ROUND(C2/G2,4)</f>
        <v>0.1429</v>
      </c>
      <c r="I2">
        <f>ROUND(C2/G2/(D2/1000),4)</f>
        <v>0.5714</v>
      </c>
      <c r="J2">
        <f>IF(E2="AX",ROUND(-LOG10(I2),2),IF(E2="BZ",ROUND(14+LOG10(I2),2),7))</f>
        <v>0.24</v>
      </c>
      <c r="K2" t="str">
        <f>IF(J2&lt;6.5,"AXIT",IF(J2&gt;7.5,"BAZO","TRUNG TINH"))</f>
        <v>AXIT</v>
      </c>
      <c r="R2" t="str">
        <v>HCl</v>
      </c>
      <c r="S2">
        <v>36.5</v>
      </c>
      <c r="W2" t="str">
        <v>AX</v>
      </c>
      <c r="Y2" t="str">
        <v>Ma mau co CM lon nhat</v>
      </c>
      <c r="Z2" t="str">
        <f>INDEX(A2:A13,MATCH(MAX(I2:I13),I2:I13,0))</f>
        <v>MU03</v>
      </c>
    </row>
    <row r="3">
      <c r="A3" t="str">
        <v>BZ02</v>
      </c>
      <c r="B3" t="str">
        <v>NaOH</v>
      </c>
      <c r="C3">
        <v>4</v>
      </c>
      <c r="D3">
        <v>1000</v>
      </c>
      <c r="E3" t="str">
        <f>LEFT(A3,2)</f>
        <v>BZ</v>
      </c>
      <c r="F3">
        <f>VALUE(RIGHT(A3,2))</f>
        <v>2</v>
      </c>
      <c r="G3">
        <f>VLOOKUP(B3,$R$2:$S$7,2,FALSE)</f>
        <v>40</v>
      </c>
      <c r="H3">
        <f>ROUND(C3/G3,4)</f>
        <v>0.1</v>
      </c>
      <c r="I3">
        <f>ROUND(C3/G3/(D3/1000),4)</f>
        <v>0.1</v>
      </c>
      <c r="J3">
        <f>IF(E3="AX",ROUND(-LOG10(I3),2),IF(E3="BZ",ROUND(14+LOG10(I3),2),7))</f>
        <v>13</v>
      </c>
      <c r="K3" t="str">
        <f>IF(J3&lt;6.5,"AXIT",IF(J3&gt;7.5,"BAZO","TRUNG TINH"))</f>
        <v>BAZO</v>
      </c>
      <c r="R3" t="str">
        <v>HNO3</v>
      </c>
      <c r="S3">
        <v>63</v>
      </c>
      <c r="Y3" t="str">
        <v>Tong SoMol nhom AX</v>
      </c>
      <c r="Z3">
        <f>SUMIF(E2:E13,"AX",H2:H13)</f>
        <v>0.1945</v>
      </c>
    </row>
    <row r="4">
      <c r="A4" t="str">
        <v>MU03</v>
      </c>
      <c r="B4" t="str">
        <v>NaCl</v>
      </c>
      <c r="C4">
        <v>17.75</v>
      </c>
      <c r="D4">
        <v>200</v>
      </c>
      <c r="E4" t="str">
        <f>LEFT(A4,2)</f>
        <v>MU</v>
      </c>
      <c r="F4">
        <f>VALUE(RIGHT(A4,2))</f>
        <v>3</v>
      </c>
      <c r="G4">
        <f>VLOOKUP(B4,$R$2:$S$7,2,FALSE)</f>
        <v>58.5</v>
      </c>
      <c r="H4">
        <f>ROUND(C4/G4,4)</f>
        <v>0.3034</v>
      </c>
      <c r="I4">
        <f>ROUND(C4/G4/(D4/1000),4)</f>
        <v>1.5171</v>
      </c>
      <c r="J4">
        <f>IF(E4="AX",ROUND(-LOG10(I4),2),IF(E4="BZ",ROUND(14+LOG10(I4),2),7))</f>
        <v>7</v>
      </c>
      <c r="K4" t="str">
        <f>IF(J4&lt;6.5,"AXIT",IF(J4&gt;7.5,"BAZO","TRUNG TINH"))</f>
        <v>TRUNG TINH</v>
      </c>
      <c r="R4" t="str">
        <v>NaOH</v>
      </c>
      <c r="S4">
        <v>40</v>
      </c>
      <c r="Y4" t="str">
        <v>So mau BZ co CM &gt;= 0.5</v>
      </c>
      <c r="Z4">
        <f>COUNTIFS(E2:E13,"BZ",I2:I13,"&gt;=0.5")</f>
        <v>0</v>
      </c>
    </row>
    <row r="5">
      <c r="A5" t="str">
        <v>MU04</v>
      </c>
      <c r="B5" t="str">
        <v>KCl</v>
      </c>
      <c r="C5">
        <v>6.25</v>
      </c>
      <c r="D5">
        <v>200</v>
      </c>
      <c r="E5" t="str">
        <f>LEFT(A5,2)</f>
        <v>MU</v>
      </c>
      <c r="F5">
        <f>VALUE(RIGHT(A5,2))</f>
        <v>4</v>
      </c>
      <c r="G5">
        <f>VLOOKUP(B5,$R$2:$S$7,2,FALSE)</f>
        <v>74.5</v>
      </c>
      <c r="H5">
        <f>ROUND(C5/G5,4)</f>
        <v>0.0839</v>
      </c>
      <c r="I5">
        <f>ROUND(C5/G5/(D5/1000),4)</f>
        <v>0.4195</v>
      </c>
      <c r="J5">
        <f>IF(E5="AX",ROUND(-LOG10(I5),2),IF(E5="BZ",ROUND(14+LOG10(I5),2),7))</f>
        <v>7</v>
      </c>
      <c r="K5" t="str">
        <f>IF(J5&lt;6.5,"AXIT",IF(J5&gt;7.5,"BAZO","TRUNG TINH"))</f>
        <v>TRUNG TINH</v>
      </c>
      <c r="R5" t="str">
        <v>KOH</v>
      </c>
      <c r="S5">
        <v>56</v>
      </c>
      <c r="Y5" t="str">
        <v>CM TB nhom MU</v>
      </c>
      <c r="Z5">
        <f>AVERAGEIF(E2:E13,"MU",I2:I13)</f>
        <v>0.7131749999999999</v>
      </c>
    </row>
    <row r="6">
      <c r="A6" t="str">
        <v>MU05</v>
      </c>
      <c r="B6" t="str">
        <v>KCl</v>
      </c>
      <c r="C6">
        <v>17</v>
      </c>
      <c r="D6">
        <v>200</v>
      </c>
      <c r="E6" t="str">
        <f>LEFT(A6,2)</f>
        <v>MU</v>
      </c>
      <c r="F6">
        <f>VALUE(RIGHT(A6,2))</f>
        <v>5</v>
      </c>
      <c r="G6">
        <f>VLOOKUP(B6,$R$2:$S$7,2,FALSE)</f>
        <v>74.5</v>
      </c>
      <c r="H6">
        <f>ROUND(C6/G6,4)</f>
        <v>0.2282</v>
      </c>
      <c r="I6">
        <f>ROUND(C6/G6/(D6/1000),4)</f>
        <v>1.1409</v>
      </c>
      <c r="J6">
        <f>IF(E6="AX",ROUND(-LOG10(I6),2),IF(E6="BZ",ROUND(14+LOG10(I6),2),7))</f>
        <v>7</v>
      </c>
      <c r="K6" t="str">
        <f>IF(J6&lt;6.5,"AXIT",IF(J6&gt;7.5,"BAZO","TRUNG TINH"))</f>
        <v>TRUNG TINH</v>
      </c>
      <c r="R6" t="str">
        <v>NaCl</v>
      </c>
      <c r="S6">
        <v>58.5</v>
      </c>
      <c r="Y6" t="str">
        <v>pH lon nhat nhom BZ</v>
      </c>
      <c r="Z6">
        <f>_xlfn.MAXIFS(J2:J13,E2:E13,"BZ")</f>
        <v>13.65</v>
      </c>
    </row>
    <row r="7">
      <c r="A7" t="str">
        <v>MU06</v>
      </c>
      <c r="B7" t="str">
        <v>KCl</v>
      </c>
      <c r="C7">
        <v>4.75</v>
      </c>
      <c r="D7">
        <v>1000</v>
      </c>
      <c r="E7" t="str">
        <f>LEFT(A7,2)</f>
        <v>MU</v>
      </c>
      <c r="F7">
        <f>VALUE(RIGHT(A7,2))</f>
        <v>6</v>
      </c>
      <c r="G7">
        <f>VLOOKUP(B7,$R$2:$S$7,2,FALSE)</f>
        <v>74.5</v>
      </c>
      <c r="H7">
        <f>ROUND(C7/G7,4)</f>
        <v>0.0638</v>
      </c>
      <c r="I7">
        <f>ROUND(C7/G7/(D7/1000),4)</f>
        <v>0.0638</v>
      </c>
      <c r="J7">
        <f>IF(E7="AX",ROUND(-LOG10(I7),2),IF(E7="BZ",ROUND(14+LOG10(I7),2),7))</f>
        <v>7</v>
      </c>
      <c r="K7" t="str">
        <f>IF(J7&lt;6.5,"AXIT",IF(J7&gt;7.5,"BAZO","TRUNG TINH"))</f>
        <v>TRUNG TINH</v>
      </c>
      <c r="R7" t="str">
        <v>KCl</v>
      </c>
      <c r="S7">
        <v>74.5</v>
      </c>
      <c r="Y7" t="str">
        <v>pH trung vi</v>
      </c>
      <c r="Z7">
        <f>MEDIAN(J2:J13)</f>
        <v>7</v>
      </c>
    </row>
    <row r="8">
      <c r="A8" t="str">
        <v>MU07</v>
      </c>
      <c r="B8" t="str">
        <v>NaCl</v>
      </c>
      <c r="C8">
        <v>9.75</v>
      </c>
      <c r="D8">
        <v>200</v>
      </c>
      <c r="E8" t="str">
        <f>LEFT(A8,2)</f>
        <v>MU</v>
      </c>
      <c r="F8">
        <f>VALUE(RIGHT(A8,2))</f>
        <v>7</v>
      </c>
      <c r="G8">
        <f>VLOOKUP(B8,$R$2:$S$7,2,FALSE)</f>
        <v>58.5</v>
      </c>
      <c r="H8">
        <f>ROUND(C8/G8,4)</f>
        <v>0.1667</v>
      </c>
      <c r="I8">
        <f>ROUND(C8/G8/(D8/1000),4)</f>
        <v>0.8333</v>
      </c>
      <c r="J8">
        <f>IF(E8="AX",ROUND(-LOG10(I8),2),IF(E8="BZ",ROUND(14+LOG10(I8),2),7))</f>
        <v>7</v>
      </c>
      <c r="K8" t="str">
        <f>IF(J8&lt;6.5,"AXIT",IF(J8&gt;7.5,"BAZO","TRUNG TINH"))</f>
        <v>TRUNG TINH</v>
      </c>
      <c r="Y8" t="str">
        <v>CM lon thu hai</v>
      </c>
      <c r="Z8">
        <f>LARGE(I2:I13,2)</f>
        <v>1.1409</v>
      </c>
    </row>
    <row r="9">
      <c r="A9" t="str">
        <v>BZ08</v>
      </c>
      <c r="B9" t="str">
        <v>NaOH</v>
      </c>
      <c r="C9">
        <v>4.5</v>
      </c>
      <c r="D9">
        <v>250</v>
      </c>
      <c r="E9" t="str">
        <f>LEFT(A9,2)</f>
        <v>BZ</v>
      </c>
      <c r="F9">
        <f>VALUE(RIGHT(A9,2))</f>
        <v>8</v>
      </c>
      <c r="G9">
        <f>VLOOKUP(B9,$R$2:$S$7,2,FALSE)</f>
        <v>40</v>
      </c>
      <c r="H9">
        <f>ROUND(C9/G9,4)</f>
        <v>0.1125</v>
      </c>
      <c r="I9">
        <f>ROUND(C9/G9/(D9/1000),4)</f>
        <v>0.45</v>
      </c>
      <c r="J9">
        <f>IF(E9="AX",ROUND(-LOG10(I9),2),IF(E9="BZ",ROUND(14+LOG10(I9),2),7))</f>
        <v>13.65</v>
      </c>
      <c r="K9" t="str">
        <f>IF(J9&lt;6.5,"AXIT",IF(J9&gt;7.5,"BAZO","TRUNG TINH"))</f>
        <v>BAZO</v>
      </c>
      <c r="Y9" t="str">
        <v>Do lech chuan pH</v>
      </c>
      <c r="Z9">
        <f>ROUND(STDEV(J2:J13),2)</f>
        <v>3.8</v>
      </c>
    </row>
    <row r="10">
      <c r="A10" t="str">
        <v>MU09</v>
      </c>
      <c r="B10" t="str">
        <v>KCl</v>
      </c>
      <c r="C10">
        <v>14</v>
      </c>
      <c r="D10">
        <v>1000</v>
      </c>
      <c r="E10" t="str">
        <f>LEFT(A10,2)</f>
        <v>MU</v>
      </c>
      <c r="F10">
        <f>VALUE(RIGHT(A10,2))</f>
        <v>9</v>
      </c>
      <c r="G10">
        <f>VLOOKUP(B10,$R$2:$S$7,2,FALSE)</f>
        <v>74.5</v>
      </c>
      <c r="H10">
        <f>ROUND(C10/G10,4)</f>
        <v>0.1879</v>
      </c>
      <c r="I10">
        <f>ROUND(C10/G10/(D10/1000),4)</f>
        <v>0.1879</v>
      </c>
      <c r="J10">
        <f>IF(E10="AX",ROUND(-LOG10(I10),2),IF(E10="BZ",ROUND(14+LOG10(I10),2),7))</f>
        <v>7</v>
      </c>
      <c r="K10" t="str">
        <f>IF(J10&lt;6.5,"AXIT",IF(J10&gt;7.5,"BAZO","TRUNG TINH"))</f>
        <v>TRUNG TINH</v>
      </c>
      <c r="Y10" t="str">
        <v>CM TB theo tieu chi W1:W2</v>
      </c>
      <c r="Z10">
        <f>DAVERAGE(A1:K13,"CM",W1:W2)</f>
        <v>0.3115</v>
      </c>
    </row>
    <row r="11">
      <c r="A11" t="str">
        <v>MU10</v>
      </c>
      <c r="B11" t="str">
        <v>KCl</v>
      </c>
      <c r="C11">
        <v>16</v>
      </c>
      <c r="D11">
        <v>250</v>
      </c>
      <c r="E11" t="str">
        <f>LEFT(A11,2)</f>
        <v>MU</v>
      </c>
      <c r="F11">
        <f>VALUE(RIGHT(A11,2))</f>
        <v>10</v>
      </c>
      <c r="G11">
        <f>VLOOKUP(B11,$R$2:$S$7,2,FALSE)</f>
        <v>74.5</v>
      </c>
      <c r="H11">
        <f>ROUND(C11/G11,4)</f>
        <v>0.2148</v>
      </c>
      <c r="I11">
        <f>ROUND(C11/G11/(D11/1000),4)</f>
        <v>0.8591</v>
      </c>
      <c r="J11">
        <f>IF(E11="AX",ROUND(-LOG10(I11),2),IF(E11="BZ",ROUND(14+LOG10(I11),2),7))</f>
        <v>7</v>
      </c>
      <c r="K11" t="str">
        <f>IF(J11&lt;6.5,"AXIT",IF(J11&gt;7.5,"BAZO","TRUNG TINH"))</f>
        <v>TRUNG TINH</v>
      </c>
      <c r="Y11" t="str">
        <v>So mau theo tieu chi W1:W2</v>
      </c>
      <c r="Z11">
        <f>DCOUNT(A1:K13,"CM",W1:W2)</f>
        <v>2</v>
      </c>
    </row>
    <row r="12">
      <c r="A12" t="str">
        <v>MU11</v>
      </c>
      <c r="B12" t="str">
        <v>NaCl</v>
      </c>
      <c r="C12">
        <v>8</v>
      </c>
      <c r="D12">
        <v>200</v>
      </c>
      <c r="E12" t="str">
        <f>LEFT(A12,2)</f>
        <v>MU</v>
      </c>
      <c r="F12">
        <f>VALUE(RIGHT(A12,2))</f>
        <v>11</v>
      </c>
      <c r="G12">
        <f>VLOOKUP(B12,$R$2:$S$7,2,FALSE)</f>
        <v>58.5</v>
      </c>
      <c r="H12">
        <f>ROUND(C12/G12,4)</f>
        <v>0.1368</v>
      </c>
      <c r="I12">
        <f>ROUND(C12/G12/(D12/1000),4)</f>
        <v>0.6838</v>
      </c>
      <c r="J12">
        <f>IF(E12="AX",ROUND(-LOG10(I12),2),IF(E12="BZ",ROUND(14+LOG10(I12),2),7))</f>
        <v>7</v>
      </c>
      <c r="K12" t="str">
        <f>IF(J12&lt;6.5,"AXIT",IF(J12&gt;7.5,"BAZO","TRUNG TINH"))</f>
        <v>TRUNG TINH</v>
      </c>
      <c r="Y12" t="str">
        <v>Tong SoMol nhom BZ</v>
      </c>
      <c r="Z12">
        <f>SUMPRODUCT((E2:E13="BZ")*H2:H13)</f>
        <v>0.21250000000000002</v>
      </c>
    </row>
    <row r="13">
      <c r="A13" t="str">
        <v>AX12</v>
      </c>
      <c r="B13" t="str">
        <v>HNO3</v>
      </c>
      <c r="C13">
        <v>3.25</v>
      </c>
      <c r="D13">
        <v>1000</v>
      </c>
      <c r="E13" t="str">
        <f>LEFT(A13,2)</f>
        <v>AX</v>
      </c>
      <c r="F13">
        <f>VALUE(RIGHT(A13,2))</f>
        <v>12</v>
      </c>
      <c r="G13">
        <f>VLOOKUP(B13,$R$2:$S$7,2,FALSE)</f>
        <v>63</v>
      </c>
      <c r="H13">
        <f>ROUND(C13/G13,4)</f>
        <v>0.0516</v>
      </c>
      <c r="I13">
        <f>ROUND(C13/G13/(D13/1000),4)</f>
        <v>0.0516</v>
      </c>
      <c r="J13">
        <f>IF(E13="AX",ROUND(-LOG10(I13),2),IF(E13="BZ",ROUND(14+LOG10(I13),2),7))</f>
        <v>1.29</v>
      </c>
      <c r="K13" t="str">
        <f>IF(J13&lt;6.5,"AXIT",IF(J13&gt;7.5,"BAZO","TRUNG TINH"))</f>
        <v>AXIT</v>
      </c>
      <c r="Y13" t="str">
        <v>So mau tinh chat AXIT</v>
      </c>
      <c r="Z13">
        <f>SUMPRODUCT((K2:K13="AXIT")*1)</f>
        <v>2</v>
      </c>
    </row>
  </sheetData>
  <ignoredErrors>
    <ignoredError numberStoredAsText="1" sqref="A1:Z13"/>
  </ignoredErrors>
</worksheet>
</file>

<file path=xl/worksheets/sheet43.xml><?xml version="1.0" encoding="utf-8"?>
<worksheet xmlns="http://schemas.openxmlformats.org/spreadsheetml/2006/main" xmlns:r="http://schemas.openxmlformats.org/officeDocument/2006/relationships">
  <dimension ref="A1:E97"/>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t="str">
        <v>AX</v>
      </c>
      <c r="C2">
        <f>'hoa'!E2</f>
      </c>
      <c r="D2">
        <f>IF(ISERROR(C2),LEFT(B2&amp;"",1)="#",IF(ISNUMBER(C2),AND(ISNUMBER(B2),ABS(C2-B2)&lt;=0.000001*MAX(1,ABS(B2))),EXACT(C2&amp;"",B2&amp;"")))</f>
      </c>
      <c r="E2">
        <f>ISERROR(C2)</f>
      </c>
    </row>
    <row r="3">
      <c r="A3" t="str">
        <v>E3</v>
      </c>
      <c r="B3" t="str">
        <v>BZ</v>
      </c>
      <c r="C3">
        <f>'hoa'!E3</f>
      </c>
      <c r="D3">
        <f>IF(ISERROR(C3),LEFT(B3&amp;"",1)="#",IF(ISNUMBER(C3),AND(ISNUMBER(B3),ABS(C3-B3)&lt;=0.000001*MAX(1,ABS(B3))),EXACT(C3&amp;"",B3&amp;"")))</f>
      </c>
      <c r="E3">
        <f>ISERROR(C3)</f>
      </c>
    </row>
    <row r="4">
      <c r="A4" t="str">
        <v>E4</v>
      </c>
      <c r="B4" t="str">
        <v>MU</v>
      </c>
      <c r="C4">
        <f>'hoa'!E4</f>
      </c>
      <c r="D4">
        <f>IF(ISERROR(C4),LEFT(B4&amp;"",1)="#",IF(ISNUMBER(C4),AND(ISNUMBER(B4),ABS(C4-B4)&lt;=0.000001*MAX(1,ABS(B4))),EXACT(C4&amp;"",B4&amp;"")))</f>
      </c>
      <c r="E4">
        <f>ISERROR(C4)</f>
      </c>
    </row>
    <row r="5">
      <c r="A5" t="str">
        <v>E5</v>
      </c>
      <c r="B5" t="str">
        <v>MU</v>
      </c>
      <c r="C5">
        <f>'hoa'!E5</f>
      </c>
      <c r="D5">
        <f>IF(ISERROR(C5),LEFT(B5&amp;"",1)="#",IF(ISNUMBER(C5),AND(ISNUMBER(B5),ABS(C5-B5)&lt;=0.000001*MAX(1,ABS(B5))),EXACT(C5&amp;"",B5&amp;"")))</f>
      </c>
      <c r="E5">
        <f>ISERROR(C5)</f>
      </c>
    </row>
    <row r="6">
      <c r="A6" t="str">
        <v>E6</v>
      </c>
      <c r="B6" t="str">
        <v>MU</v>
      </c>
      <c r="C6">
        <f>'hoa'!E6</f>
      </c>
      <c r="D6">
        <f>IF(ISERROR(C6),LEFT(B6&amp;"",1)="#",IF(ISNUMBER(C6),AND(ISNUMBER(B6),ABS(C6-B6)&lt;=0.000001*MAX(1,ABS(B6))),EXACT(C6&amp;"",B6&amp;"")))</f>
      </c>
      <c r="E6">
        <f>ISERROR(C6)</f>
      </c>
    </row>
    <row r="7">
      <c r="A7" t="str">
        <v>E7</v>
      </c>
      <c r="B7" t="str">
        <v>MU</v>
      </c>
      <c r="C7">
        <f>'hoa'!E7</f>
      </c>
      <c r="D7">
        <f>IF(ISERROR(C7),LEFT(B7&amp;"",1)="#",IF(ISNUMBER(C7),AND(ISNUMBER(B7),ABS(C7-B7)&lt;=0.000001*MAX(1,ABS(B7))),EXACT(C7&amp;"",B7&amp;"")))</f>
      </c>
      <c r="E7">
        <f>ISERROR(C7)</f>
      </c>
    </row>
    <row r="8">
      <c r="A8" t="str">
        <v>E8</v>
      </c>
      <c r="B8" t="str">
        <v>MU</v>
      </c>
      <c r="C8">
        <f>'hoa'!E8</f>
      </c>
      <c r="D8">
        <f>IF(ISERROR(C8),LEFT(B8&amp;"",1)="#",IF(ISNUMBER(C8),AND(ISNUMBER(B8),ABS(C8-B8)&lt;=0.000001*MAX(1,ABS(B8))),EXACT(C8&amp;"",B8&amp;"")))</f>
      </c>
      <c r="E8">
        <f>ISERROR(C8)</f>
      </c>
    </row>
    <row r="9">
      <c r="A9" t="str">
        <v>E9</v>
      </c>
      <c r="B9" t="str">
        <v>BZ</v>
      </c>
      <c r="C9">
        <f>'hoa'!E9</f>
      </c>
      <c r="D9">
        <f>IF(ISERROR(C9),LEFT(B9&amp;"",1)="#",IF(ISNUMBER(C9),AND(ISNUMBER(B9),ABS(C9-B9)&lt;=0.000001*MAX(1,ABS(B9))),EXACT(C9&amp;"",B9&amp;"")))</f>
      </c>
      <c r="E9">
        <f>ISERROR(C9)</f>
      </c>
    </row>
    <row r="10">
      <c r="A10" t="str">
        <v>E10</v>
      </c>
      <c r="B10" t="str">
        <v>MU</v>
      </c>
      <c r="C10">
        <f>'hoa'!E10</f>
      </c>
      <c r="D10">
        <f>IF(ISERROR(C10),LEFT(B10&amp;"",1)="#",IF(ISNUMBER(C10),AND(ISNUMBER(B10),ABS(C10-B10)&lt;=0.000001*MAX(1,ABS(B10))),EXACT(C10&amp;"",B10&amp;"")))</f>
      </c>
      <c r="E10">
        <f>ISERROR(C10)</f>
      </c>
    </row>
    <row r="11">
      <c r="A11" t="str">
        <v>E11</v>
      </c>
      <c r="B11" t="str">
        <v>MU</v>
      </c>
      <c r="C11">
        <f>'hoa'!E11</f>
      </c>
      <c r="D11">
        <f>IF(ISERROR(C11),LEFT(B11&amp;"",1)="#",IF(ISNUMBER(C11),AND(ISNUMBER(B11),ABS(C11-B11)&lt;=0.000001*MAX(1,ABS(B11))),EXACT(C11&amp;"",B11&amp;"")))</f>
      </c>
      <c r="E11">
        <f>ISERROR(C11)</f>
      </c>
    </row>
    <row r="12">
      <c r="A12" t="str">
        <v>E12</v>
      </c>
      <c r="B12" t="str">
        <v>MU</v>
      </c>
      <c r="C12">
        <f>'hoa'!E12</f>
      </c>
      <c r="D12">
        <f>IF(ISERROR(C12),LEFT(B12&amp;"",1)="#",IF(ISNUMBER(C12),AND(ISNUMBER(B12),ABS(C12-B12)&lt;=0.000001*MAX(1,ABS(B12))),EXACT(C12&amp;"",B12&amp;"")))</f>
      </c>
      <c r="E12">
        <f>ISERROR(C12)</f>
      </c>
    </row>
    <row r="13">
      <c r="A13" t="str">
        <v>E13</v>
      </c>
      <c r="B13" t="str">
        <v>AX</v>
      </c>
      <c r="C13">
        <f>'hoa'!E13</f>
      </c>
      <c r="D13">
        <f>IF(ISERROR(C13),LEFT(B13&amp;"",1)="#",IF(ISNUMBER(C13),AND(ISNUMBER(B13),ABS(C13-B13)&lt;=0.000001*MAX(1,ABS(B13))),EXACT(C13&amp;"",B13&amp;"")))</f>
      </c>
      <c r="E13">
        <f>ISERROR(C13)</f>
      </c>
    </row>
    <row r="14">
      <c r="A14" t="str">
        <v>F2</v>
      </c>
      <c r="B14">
        <v>1</v>
      </c>
      <c r="C14">
        <f>'hoa'!F2</f>
      </c>
      <c r="D14">
        <f>IF(ISERROR(C14),LEFT(B14&amp;"",1)="#",IF(ISNUMBER(C14),AND(ISNUMBER(B14),ABS(C14-B14)&lt;=0.000001*MAX(1,ABS(B14))),EXACT(C14&amp;"",B14&amp;"")))</f>
      </c>
      <c r="E14">
        <f>ISERROR(C14)</f>
      </c>
    </row>
    <row r="15">
      <c r="A15" t="str">
        <v>F3</v>
      </c>
      <c r="B15">
        <v>2</v>
      </c>
      <c r="C15">
        <f>'hoa'!F3</f>
      </c>
      <c r="D15">
        <f>IF(ISERROR(C15),LEFT(B15&amp;"",1)="#",IF(ISNUMBER(C15),AND(ISNUMBER(B15),ABS(C15-B15)&lt;=0.000001*MAX(1,ABS(B15))),EXACT(C15&amp;"",B15&amp;"")))</f>
      </c>
      <c r="E15">
        <f>ISERROR(C15)</f>
      </c>
    </row>
    <row r="16">
      <c r="A16" t="str">
        <v>F4</v>
      </c>
      <c r="B16">
        <v>3</v>
      </c>
      <c r="C16">
        <f>'hoa'!F4</f>
      </c>
      <c r="D16">
        <f>IF(ISERROR(C16),LEFT(B16&amp;"",1)="#",IF(ISNUMBER(C16),AND(ISNUMBER(B16),ABS(C16-B16)&lt;=0.000001*MAX(1,ABS(B16))),EXACT(C16&amp;"",B16&amp;"")))</f>
      </c>
      <c r="E16">
        <f>ISERROR(C16)</f>
      </c>
    </row>
    <row r="17">
      <c r="A17" t="str">
        <v>F5</v>
      </c>
      <c r="B17">
        <v>4</v>
      </c>
      <c r="C17">
        <f>'hoa'!F5</f>
      </c>
      <c r="D17">
        <f>IF(ISERROR(C17),LEFT(B17&amp;"",1)="#",IF(ISNUMBER(C17),AND(ISNUMBER(B17),ABS(C17-B17)&lt;=0.000001*MAX(1,ABS(B17))),EXACT(C17&amp;"",B17&amp;"")))</f>
      </c>
      <c r="E17">
        <f>ISERROR(C17)</f>
      </c>
    </row>
    <row r="18">
      <c r="A18" t="str">
        <v>F6</v>
      </c>
      <c r="B18">
        <v>5</v>
      </c>
      <c r="C18">
        <f>'hoa'!F6</f>
      </c>
      <c r="D18">
        <f>IF(ISERROR(C18),LEFT(B18&amp;"",1)="#",IF(ISNUMBER(C18),AND(ISNUMBER(B18),ABS(C18-B18)&lt;=0.000001*MAX(1,ABS(B18))),EXACT(C18&amp;"",B18&amp;"")))</f>
      </c>
      <c r="E18">
        <f>ISERROR(C18)</f>
      </c>
    </row>
    <row r="19">
      <c r="A19" t="str">
        <v>F7</v>
      </c>
      <c r="B19">
        <v>6</v>
      </c>
      <c r="C19">
        <f>'hoa'!F7</f>
      </c>
      <c r="D19">
        <f>IF(ISERROR(C19),LEFT(B19&amp;"",1)="#",IF(ISNUMBER(C19),AND(ISNUMBER(B19),ABS(C19-B19)&lt;=0.000001*MAX(1,ABS(B19))),EXACT(C19&amp;"",B19&amp;"")))</f>
      </c>
      <c r="E19">
        <f>ISERROR(C19)</f>
      </c>
    </row>
    <row r="20">
      <c r="A20" t="str">
        <v>F8</v>
      </c>
      <c r="B20">
        <v>7</v>
      </c>
      <c r="C20">
        <f>'hoa'!F8</f>
      </c>
      <c r="D20">
        <f>IF(ISERROR(C20),LEFT(B20&amp;"",1)="#",IF(ISNUMBER(C20),AND(ISNUMBER(B20),ABS(C20-B20)&lt;=0.000001*MAX(1,ABS(B20))),EXACT(C20&amp;"",B20&amp;"")))</f>
      </c>
      <c r="E20">
        <f>ISERROR(C20)</f>
      </c>
    </row>
    <row r="21">
      <c r="A21" t="str">
        <v>F9</v>
      </c>
      <c r="B21">
        <v>8</v>
      </c>
      <c r="C21">
        <f>'hoa'!F9</f>
      </c>
      <c r="D21">
        <f>IF(ISERROR(C21),LEFT(B21&amp;"",1)="#",IF(ISNUMBER(C21),AND(ISNUMBER(B21),ABS(C21-B21)&lt;=0.000001*MAX(1,ABS(B21))),EXACT(C21&amp;"",B21&amp;"")))</f>
      </c>
      <c r="E21">
        <f>ISERROR(C21)</f>
      </c>
    </row>
    <row r="22">
      <c r="A22" t="str">
        <v>F10</v>
      </c>
      <c r="B22">
        <v>9</v>
      </c>
      <c r="C22">
        <f>'hoa'!F10</f>
      </c>
      <c r="D22">
        <f>IF(ISERROR(C22),LEFT(B22&amp;"",1)="#",IF(ISNUMBER(C22),AND(ISNUMBER(B22),ABS(C22-B22)&lt;=0.000001*MAX(1,ABS(B22))),EXACT(C22&amp;"",B22&amp;"")))</f>
      </c>
      <c r="E22">
        <f>ISERROR(C22)</f>
      </c>
    </row>
    <row r="23">
      <c r="A23" t="str">
        <v>F11</v>
      </c>
      <c r="B23">
        <v>10</v>
      </c>
      <c r="C23">
        <f>'hoa'!F11</f>
      </c>
      <c r="D23">
        <f>IF(ISERROR(C23),LEFT(B23&amp;"",1)="#",IF(ISNUMBER(C23),AND(ISNUMBER(B23),ABS(C23-B23)&lt;=0.000001*MAX(1,ABS(B23))),EXACT(C23&amp;"",B23&amp;"")))</f>
      </c>
      <c r="E23">
        <f>ISERROR(C23)</f>
      </c>
    </row>
    <row r="24">
      <c r="A24" t="str">
        <v>F12</v>
      </c>
      <c r="B24">
        <v>11</v>
      </c>
      <c r="C24">
        <f>'hoa'!F12</f>
      </c>
      <c r="D24">
        <f>IF(ISERROR(C24),LEFT(B24&amp;"",1)="#",IF(ISNUMBER(C24),AND(ISNUMBER(B24),ABS(C24-B24)&lt;=0.000001*MAX(1,ABS(B24))),EXACT(C24&amp;"",B24&amp;"")))</f>
      </c>
      <c r="E24">
        <f>ISERROR(C24)</f>
      </c>
    </row>
    <row r="25">
      <c r="A25" t="str">
        <v>F13</v>
      </c>
      <c r="B25">
        <v>12</v>
      </c>
      <c r="C25">
        <f>'hoa'!F13</f>
      </c>
      <c r="D25">
        <f>IF(ISERROR(C25),LEFT(B25&amp;"",1)="#",IF(ISNUMBER(C25),AND(ISNUMBER(B25),ABS(C25-B25)&lt;=0.000001*MAX(1,ABS(B25))),EXACT(C25&amp;"",B25&amp;"")))</f>
      </c>
      <c r="E25">
        <f>ISERROR(C25)</f>
      </c>
    </row>
    <row r="26">
      <c r="A26" t="str">
        <v>G2</v>
      </c>
      <c r="B26">
        <v>63</v>
      </c>
      <c r="C26">
        <f>'hoa'!G2</f>
      </c>
      <c r="D26">
        <f>IF(ISERROR(C26),LEFT(B26&amp;"",1)="#",IF(ISNUMBER(C26),AND(ISNUMBER(B26),ABS(C26-B26)&lt;=0.000001*MAX(1,ABS(B26))),EXACT(C26&amp;"",B26&amp;"")))</f>
      </c>
      <c r="E26">
        <f>ISERROR(C26)</f>
      </c>
    </row>
    <row r="27">
      <c r="A27" t="str">
        <v>G3</v>
      </c>
      <c r="B27">
        <v>40</v>
      </c>
      <c r="C27">
        <f>'hoa'!G3</f>
      </c>
      <c r="D27">
        <f>IF(ISERROR(C27),LEFT(B27&amp;"",1)="#",IF(ISNUMBER(C27),AND(ISNUMBER(B27),ABS(C27-B27)&lt;=0.000001*MAX(1,ABS(B27))),EXACT(C27&amp;"",B27&amp;"")))</f>
      </c>
      <c r="E27">
        <f>ISERROR(C27)</f>
      </c>
    </row>
    <row r="28">
      <c r="A28" t="str">
        <v>G4</v>
      </c>
      <c r="B28">
        <v>58.5</v>
      </c>
      <c r="C28">
        <f>'hoa'!G4</f>
      </c>
      <c r="D28">
        <f>IF(ISERROR(C28),LEFT(B28&amp;"",1)="#",IF(ISNUMBER(C28),AND(ISNUMBER(B28),ABS(C28-B28)&lt;=0.000001*MAX(1,ABS(B28))),EXACT(C28&amp;"",B28&amp;"")))</f>
      </c>
      <c r="E28">
        <f>ISERROR(C28)</f>
      </c>
    </row>
    <row r="29">
      <c r="A29" t="str">
        <v>G5</v>
      </c>
      <c r="B29">
        <v>74.5</v>
      </c>
      <c r="C29">
        <f>'hoa'!G5</f>
      </c>
      <c r="D29">
        <f>IF(ISERROR(C29),LEFT(B29&amp;"",1)="#",IF(ISNUMBER(C29),AND(ISNUMBER(B29),ABS(C29-B29)&lt;=0.000001*MAX(1,ABS(B29))),EXACT(C29&amp;"",B29&amp;"")))</f>
      </c>
      <c r="E29">
        <f>ISERROR(C29)</f>
      </c>
    </row>
    <row r="30">
      <c r="A30" t="str">
        <v>G6</v>
      </c>
      <c r="B30">
        <v>74.5</v>
      </c>
      <c r="C30">
        <f>'hoa'!G6</f>
      </c>
      <c r="D30">
        <f>IF(ISERROR(C30),LEFT(B30&amp;"",1)="#",IF(ISNUMBER(C30),AND(ISNUMBER(B30),ABS(C30-B30)&lt;=0.000001*MAX(1,ABS(B30))),EXACT(C30&amp;"",B30&amp;"")))</f>
      </c>
      <c r="E30">
        <f>ISERROR(C30)</f>
      </c>
    </row>
    <row r="31">
      <c r="A31" t="str">
        <v>G7</v>
      </c>
      <c r="B31">
        <v>74.5</v>
      </c>
      <c r="C31">
        <f>'hoa'!G7</f>
      </c>
      <c r="D31">
        <f>IF(ISERROR(C31),LEFT(B31&amp;"",1)="#",IF(ISNUMBER(C31),AND(ISNUMBER(B31),ABS(C31-B31)&lt;=0.000001*MAX(1,ABS(B31))),EXACT(C31&amp;"",B31&amp;"")))</f>
      </c>
      <c r="E31">
        <f>ISERROR(C31)</f>
      </c>
    </row>
    <row r="32">
      <c r="A32" t="str">
        <v>G8</v>
      </c>
      <c r="B32">
        <v>58.5</v>
      </c>
      <c r="C32">
        <f>'hoa'!G8</f>
      </c>
      <c r="D32">
        <f>IF(ISERROR(C32),LEFT(B32&amp;"",1)="#",IF(ISNUMBER(C32),AND(ISNUMBER(B32),ABS(C32-B32)&lt;=0.000001*MAX(1,ABS(B32))),EXACT(C32&amp;"",B32&amp;"")))</f>
      </c>
      <c r="E32">
        <f>ISERROR(C32)</f>
      </c>
    </row>
    <row r="33">
      <c r="A33" t="str">
        <v>G9</v>
      </c>
      <c r="B33">
        <v>40</v>
      </c>
      <c r="C33">
        <f>'hoa'!G9</f>
      </c>
      <c r="D33">
        <f>IF(ISERROR(C33),LEFT(B33&amp;"",1)="#",IF(ISNUMBER(C33),AND(ISNUMBER(B33),ABS(C33-B33)&lt;=0.000001*MAX(1,ABS(B33))),EXACT(C33&amp;"",B33&amp;"")))</f>
      </c>
      <c r="E33">
        <f>ISERROR(C33)</f>
      </c>
    </row>
    <row r="34">
      <c r="A34" t="str">
        <v>G10</v>
      </c>
      <c r="B34">
        <v>74.5</v>
      </c>
      <c r="C34">
        <f>'hoa'!G10</f>
      </c>
      <c r="D34">
        <f>IF(ISERROR(C34),LEFT(B34&amp;"",1)="#",IF(ISNUMBER(C34),AND(ISNUMBER(B34),ABS(C34-B34)&lt;=0.000001*MAX(1,ABS(B34))),EXACT(C34&amp;"",B34&amp;"")))</f>
      </c>
      <c r="E34">
        <f>ISERROR(C34)</f>
      </c>
    </row>
    <row r="35">
      <c r="A35" t="str">
        <v>G11</v>
      </c>
      <c r="B35">
        <v>74.5</v>
      </c>
      <c r="C35">
        <f>'hoa'!G11</f>
      </c>
      <c r="D35">
        <f>IF(ISERROR(C35),LEFT(B35&amp;"",1)="#",IF(ISNUMBER(C35),AND(ISNUMBER(B35),ABS(C35-B35)&lt;=0.000001*MAX(1,ABS(B35))),EXACT(C35&amp;"",B35&amp;"")))</f>
      </c>
      <c r="E35">
        <f>ISERROR(C35)</f>
      </c>
    </row>
    <row r="36">
      <c r="A36" t="str">
        <v>G12</v>
      </c>
      <c r="B36">
        <v>58.5</v>
      </c>
      <c r="C36">
        <f>'hoa'!G12</f>
      </c>
      <c r="D36">
        <f>IF(ISERROR(C36),LEFT(B36&amp;"",1)="#",IF(ISNUMBER(C36),AND(ISNUMBER(B36),ABS(C36-B36)&lt;=0.000001*MAX(1,ABS(B36))),EXACT(C36&amp;"",B36&amp;"")))</f>
      </c>
      <c r="E36">
        <f>ISERROR(C36)</f>
      </c>
    </row>
    <row r="37">
      <c r="A37" t="str">
        <v>G13</v>
      </c>
      <c r="B37">
        <v>63</v>
      </c>
      <c r="C37">
        <f>'hoa'!G13</f>
      </c>
      <c r="D37">
        <f>IF(ISERROR(C37),LEFT(B37&amp;"",1)="#",IF(ISNUMBER(C37),AND(ISNUMBER(B37),ABS(C37-B37)&lt;=0.000001*MAX(1,ABS(B37))),EXACT(C37&amp;"",B37&amp;"")))</f>
      </c>
      <c r="E37">
        <f>ISERROR(C37)</f>
      </c>
    </row>
    <row r="38">
      <c r="A38" t="str">
        <v>H2</v>
      </c>
      <c r="B38">
        <v>0.1429</v>
      </c>
      <c r="C38">
        <f>'hoa'!H2</f>
      </c>
      <c r="D38">
        <f>IF(ISERROR(C38),LEFT(B38&amp;"",1)="#",IF(ISNUMBER(C38),AND(ISNUMBER(B38),ABS(C38-B38)&lt;=0.000001*MAX(1,ABS(B38))),EXACT(C38&amp;"",B38&amp;"")))</f>
      </c>
      <c r="E38">
        <f>ISERROR(C38)</f>
      </c>
    </row>
    <row r="39">
      <c r="A39" t="str">
        <v>H3</v>
      </c>
      <c r="B39">
        <v>0.1</v>
      </c>
      <c r="C39">
        <f>'hoa'!H3</f>
      </c>
      <c r="D39">
        <f>IF(ISERROR(C39),LEFT(B39&amp;"",1)="#",IF(ISNUMBER(C39),AND(ISNUMBER(B39),ABS(C39-B39)&lt;=0.000001*MAX(1,ABS(B39))),EXACT(C39&amp;"",B39&amp;"")))</f>
      </c>
      <c r="E39">
        <f>ISERROR(C39)</f>
      </c>
    </row>
    <row r="40">
      <c r="A40" t="str">
        <v>H4</v>
      </c>
      <c r="B40">
        <v>0.3034</v>
      </c>
      <c r="C40">
        <f>'hoa'!H4</f>
      </c>
      <c r="D40">
        <f>IF(ISERROR(C40),LEFT(B40&amp;"",1)="#",IF(ISNUMBER(C40),AND(ISNUMBER(B40),ABS(C40-B40)&lt;=0.000001*MAX(1,ABS(B40))),EXACT(C40&amp;"",B40&amp;"")))</f>
      </c>
      <c r="E40">
        <f>ISERROR(C40)</f>
      </c>
    </row>
    <row r="41">
      <c r="A41" t="str">
        <v>H5</v>
      </c>
      <c r="B41">
        <v>0.0839</v>
      </c>
      <c r="C41">
        <f>'hoa'!H5</f>
      </c>
      <c r="D41">
        <f>IF(ISERROR(C41),LEFT(B41&amp;"",1)="#",IF(ISNUMBER(C41),AND(ISNUMBER(B41),ABS(C41-B41)&lt;=0.000001*MAX(1,ABS(B41))),EXACT(C41&amp;"",B41&amp;"")))</f>
      </c>
      <c r="E41">
        <f>ISERROR(C41)</f>
      </c>
    </row>
    <row r="42">
      <c r="A42" t="str">
        <v>H6</v>
      </c>
      <c r="B42">
        <v>0.2282</v>
      </c>
      <c r="C42">
        <f>'hoa'!H6</f>
      </c>
      <c r="D42">
        <f>IF(ISERROR(C42),LEFT(B42&amp;"",1)="#",IF(ISNUMBER(C42),AND(ISNUMBER(B42),ABS(C42-B42)&lt;=0.000001*MAX(1,ABS(B42))),EXACT(C42&amp;"",B42&amp;"")))</f>
      </c>
      <c r="E42">
        <f>ISERROR(C42)</f>
      </c>
    </row>
    <row r="43">
      <c r="A43" t="str">
        <v>H7</v>
      </c>
      <c r="B43">
        <v>0.0638</v>
      </c>
      <c r="C43">
        <f>'hoa'!H7</f>
      </c>
      <c r="D43">
        <f>IF(ISERROR(C43),LEFT(B43&amp;"",1)="#",IF(ISNUMBER(C43),AND(ISNUMBER(B43),ABS(C43-B43)&lt;=0.000001*MAX(1,ABS(B43))),EXACT(C43&amp;"",B43&amp;"")))</f>
      </c>
      <c r="E43">
        <f>ISERROR(C43)</f>
      </c>
    </row>
    <row r="44">
      <c r="A44" t="str">
        <v>H8</v>
      </c>
      <c r="B44">
        <v>0.1667</v>
      </c>
      <c r="C44">
        <f>'hoa'!H8</f>
      </c>
      <c r="D44">
        <f>IF(ISERROR(C44),LEFT(B44&amp;"",1)="#",IF(ISNUMBER(C44),AND(ISNUMBER(B44),ABS(C44-B44)&lt;=0.000001*MAX(1,ABS(B44))),EXACT(C44&amp;"",B44&amp;"")))</f>
      </c>
      <c r="E44">
        <f>ISERROR(C44)</f>
      </c>
    </row>
    <row r="45">
      <c r="A45" t="str">
        <v>H9</v>
      </c>
      <c r="B45">
        <v>0.1125</v>
      </c>
      <c r="C45">
        <f>'hoa'!H9</f>
      </c>
      <c r="D45">
        <f>IF(ISERROR(C45),LEFT(B45&amp;"",1)="#",IF(ISNUMBER(C45),AND(ISNUMBER(B45),ABS(C45-B45)&lt;=0.000001*MAX(1,ABS(B45))),EXACT(C45&amp;"",B45&amp;"")))</f>
      </c>
      <c r="E45">
        <f>ISERROR(C45)</f>
      </c>
    </row>
    <row r="46">
      <c r="A46" t="str">
        <v>H10</v>
      </c>
      <c r="B46">
        <v>0.1879</v>
      </c>
      <c r="C46">
        <f>'hoa'!H10</f>
      </c>
      <c r="D46">
        <f>IF(ISERROR(C46),LEFT(B46&amp;"",1)="#",IF(ISNUMBER(C46),AND(ISNUMBER(B46),ABS(C46-B46)&lt;=0.000001*MAX(1,ABS(B46))),EXACT(C46&amp;"",B46&amp;"")))</f>
      </c>
      <c r="E46">
        <f>ISERROR(C46)</f>
      </c>
    </row>
    <row r="47">
      <c r="A47" t="str">
        <v>H11</v>
      </c>
      <c r="B47">
        <v>0.2148</v>
      </c>
      <c r="C47">
        <f>'hoa'!H11</f>
      </c>
      <c r="D47">
        <f>IF(ISERROR(C47),LEFT(B47&amp;"",1)="#",IF(ISNUMBER(C47),AND(ISNUMBER(B47),ABS(C47-B47)&lt;=0.000001*MAX(1,ABS(B47))),EXACT(C47&amp;"",B47&amp;"")))</f>
      </c>
      <c r="E47">
        <f>ISERROR(C47)</f>
      </c>
    </row>
    <row r="48">
      <c r="A48" t="str">
        <v>H12</v>
      </c>
      <c r="B48">
        <v>0.1368</v>
      </c>
      <c r="C48">
        <f>'hoa'!H12</f>
      </c>
      <c r="D48">
        <f>IF(ISERROR(C48),LEFT(B48&amp;"",1)="#",IF(ISNUMBER(C48),AND(ISNUMBER(B48),ABS(C48-B48)&lt;=0.000001*MAX(1,ABS(B48))),EXACT(C48&amp;"",B48&amp;"")))</f>
      </c>
      <c r="E48">
        <f>ISERROR(C48)</f>
      </c>
    </row>
    <row r="49">
      <c r="A49" t="str">
        <v>H13</v>
      </c>
      <c r="B49">
        <v>0.0516</v>
      </c>
      <c r="C49">
        <f>'hoa'!H13</f>
      </c>
      <c r="D49">
        <f>IF(ISERROR(C49),LEFT(B49&amp;"",1)="#",IF(ISNUMBER(C49),AND(ISNUMBER(B49),ABS(C49-B49)&lt;=0.000001*MAX(1,ABS(B49))),EXACT(C49&amp;"",B49&amp;"")))</f>
      </c>
      <c r="E49">
        <f>ISERROR(C49)</f>
      </c>
    </row>
    <row r="50">
      <c r="A50" t="str">
        <v>I2</v>
      </c>
      <c r="B50">
        <v>0.5714</v>
      </c>
      <c r="C50">
        <f>'hoa'!I2</f>
      </c>
      <c r="D50">
        <f>IF(ISERROR(C50),LEFT(B50&amp;"",1)="#",IF(ISNUMBER(C50),AND(ISNUMBER(B50),ABS(C50-B50)&lt;=0.000001*MAX(1,ABS(B50))),EXACT(C50&amp;"",B50&amp;"")))</f>
      </c>
      <c r="E50">
        <f>ISERROR(C50)</f>
      </c>
    </row>
    <row r="51">
      <c r="A51" t="str">
        <v>I3</v>
      </c>
      <c r="B51">
        <v>0.1</v>
      </c>
      <c r="C51">
        <f>'hoa'!I3</f>
      </c>
      <c r="D51">
        <f>IF(ISERROR(C51),LEFT(B51&amp;"",1)="#",IF(ISNUMBER(C51),AND(ISNUMBER(B51),ABS(C51-B51)&lt;=0.000001*MAX(1,ABS(B51))),EXACT(C51&amp;"",B51&amp;"")))</f>
      </c>
      <c r="E51">
        <f>ISERROR(C51)</f>
      </c>
    </row>
    <row r="52">
      <c r="A52" t="str">
        <v>I4</v>
      </c>
      <c r="B52">
        <v>1.5171</v>
      </c>
      <c r="C52">
        <f>'hoa'!I4</f>
      </c>
      <c r="D52">
        <f>IF(ISERROR(C52),LEFT(B52&amp;"",1)="#",IF(ISNUMBER(C52),AND(ISNUMBER(B52),ABS(C52-B52)&lt;=0.000001*MAX(1,ABS(B52))),EXACT(C52&amp;"",B52&amp;"")))</f>
      </c>
      <c r="E52">
        <f>ISERROR(C52)</f>
      </c>
    </row>
    <row r="53">
      <c r="A53" t="str">
        <v>I5</v>
      </c>
      <c r="B53">
        <v>0.4195</v>
      </c>
      <c r="C53">
        <f>'hoa'!I5</f>
      </c>
      <c r="D53">
        <f>IF(ISERROR(C53),LEFT(B53&amp;"",1)="#",IF(ISNUMBER(C53),AND(ISNUMBER(B53),ABS(C53-B53)&lt;=0.000001*MAX(1,ABS(B53))),EXACT(C53&amp;"",B53&amp;"")))</f>
      </c>
      <c r="E53">
        <f>ISERROR(C53)</f>
      </c>
    </row>
    <row r="54">
      <c r="A54" t="str">
        <v>I6</v>
      </c>
      <c r="B54">
        <v>1.1409</v>
      </c>
      <c r="C54">
        <f>'hoa'!I6</f>
      </c>
      <c r="D54">
        <f>IF(ISERROR(C54),LEFT(B54&amp;"",1)="#",IF(ISNUMBER(C54),AND(ISNUMBER(B54),ABS(C54-B54)&lt;=0.000001*MAX(1,ABS(B54))),EXACT(C54&amp;"",B54&amp;"")))</f>
      </c>
      <c r="E54">
        <f>ISERROR(C54)</f>
      </c>
    </row>
    <row r="55">
      <c r="A55" t="str">
        <v>I7</v>
      </c>
      <c r="B55">
        <v>0.0638</v>
      </c>
      <c r="C55">
        <f>'hoa'!I7</f>
      </c>
      <c r="D55">
        <f>IF(ISERROR(C55),LEFT(B55&amp;"",1)="#",IF(ISNUMBER(C55),AND(ISNUMBER(B55),ABS(C55-B55)&lt;=0.000001*MAX(1,ABS(B55))),EXACT(C55&amp;"",B55&amp;"")))</f>
      </c>
      <c r="E55">
        <f>ISERROR(C55)</f>
      </c>
    </row>
    <row r="56">
      <c r="A56" t="str">
        <v>I8</v>
      </c>
      <c r="B56">
        <v>0.8333</v>
      </c>
      <c r="C56">
        <f>'hoa'!I8</f>
      </c>
      <c r="D56">
        <f>IF(ISERROR(C56),LEFT(B56&amp;"",1)="#",IF(ISNUMBER(C56),AND(ISNUMBER(B56),ABS(C56-B56)&lt;=0.000001*MAX(1,ABS(B56))),EXACT(C56&amp;"",B56&amp;"")))</f>
      </c>
      <c r="E56">
        <f>ISERROR(C56)</f>
      </c>
    </row>
    <row r="57">
      <c r="A57" t="str">
        <v>I9</v>
      </c>
      <c r="B57">
        <v>0.45</v>
      </c>
      <c r="C57">
        <f>'hoa'!I9</f>
      </c>
      <c r="D57">
        <f>IF(ISERROR(C57),LEFT(B57&amp;"",1)="#",IF(ISNUMBER(C57),AND(ISNUMBER(B57),ABS(C57-B57)&lt;=0.000001*MAX(1,ABS(B57))),EXACT(C57&amp;"",B57&amp;"")))</f>
      </c>
      <c r="E57">
        <f>ISERROR(C57)</f>
      </c>
    </row>
    <row r="58">
      <c r="A58" t="str">
        <v>I10</v>
      </c>
      <c r="B58">
        <v>0.1879</v>
      </c>
      <c r="C58">
        <f>'hoa'!I10</f>
      </c>
      <c r="D58">
        <f>IF(ISERROR(C58),LEFT(B58&amp;"",1)="#",IF(ISNUMBER(C58),AND(ISNUMBER(B58),ABS(C58-B58)&lt;=0.000001*MAX(1,ABS(B58))),EXACT(C58&amp;"",B58&amp;"")))</f>
      </c>
      <c r="E58">
        <f>ISERROR(C58)</f>
      </c>
    </row>
    <row r="59">
      <c r="A59" t="str">
        <v>I11</v>
      </c>
      <c r="B59">
        <v>0.8591</v>
      </c>
      <c r="C59">
        <f>'hoa'!I11</f>
      </c>
      <c r="D59">
        <f>IF(ISERROR(C59),LEFT(B59&amp;"",1)="#",IF(ISNUMBER(C59),AND(ISNUMBER(B59),ABS(C59-B59)&lt;=0.000001*MAX(1,ABS(B59))),EXACT(C59&amp;"",B59&amp;"")))</f>
      </c>
      <c r="E59">
        <f>ISERROR(C59)</f>
      </c>
    </row>
    <row r="60">
      <c r="A60" t="str">
        <v>I12</v>
      </c>
      <c r="B60">
        <v>0.6838</v>
      </c>
      <c r="C60">
        <f>'hoa'!I12</f>
      </c>
      <c r="D60">
        <f>IF(ISERROR(C60),LEFT(B60&amp;"",1)="#",IF(ISNUMBER(C60),AND(ISNUMBER(B60),ABS(C60-B60)&lt;=0.000001*MAX(1,ABS(B60))),EXACT(C60&amp;"",B60&amp;"")))</f>
      </c>
      <c r="E60">
        <f>ISERROR(C60)</f>
      </c>
    </row>
    <row r="61">
      <c r="A61" t="str">
        <v>I13</v>
      </c>
      <c r="B61">
        <v>0.0516</v>
      </c>
      <c r="C61">
        <f>'hoa'!I13</f>
      </c>
      <c r="D61">
        <f>IF(ISERROR(C61),LEFT(B61&amp;"",1)="#",IF(ISNUMBER(C61),AND(ISNUMBER(B61),ABS(C61-B61)&lt;=0.000001*MAX(1,ABS(B61))),EXACT(C61&amp;"",B61&amp;"")))</f>
      </c>
      <c r="E61">
        <f>ISERROR(C61)</f>
      </c>
    </row>
    <row r="62">
      <c r="A62" t="str">
        <v>J2</v>
      </c>
      <c r="B62">
        <v>0.24</v>
      </c>
      <c r="C62">
        <f>'hoa'!J2</f>
      </c>
      <c r="D62">
        <f>IF(ISERROR(C62),LEFT(B62&amp;"",1)="#",IF(ISNUMBER(C62),AND(ISNUMBER(B62),ABS(C62-B62)&lt;=0.000001*MAX(1,ABS(B62))),EXACT(C62&amp;"",B62&amp;"")))</f>
      </c>
      <c r="E62">
        <f>ISERROR(C62)</f>
      </c>
    </row>
    <row r="63">
      <c r="A63" t="str">
        <v>J3</v>
      </c>
      <c r="B63">
        <v>13</v>
      </c>
      <c r="C63">
        <f>'hoa'!J3</f>
      </c>
      <c r="D63">
        <f>IF(ISERROR(C63),LEFT(B63&amp;"",1)="#",IF(ISNUMBER(C63),AND(ISNUMBER(B63),ABS(C63-B63)&lt;=0.000001*MAX(1,ABS(B63))),EXACT(C63&amp;"",B63&amp;"")))</f>
      </c>
      <c r="E63">
        <f>ISERROR(C63)</f>
      </c>
    </row>
    <row r="64">
      <c r="A64" t="str">
        <v>J4</v>
      </c>
      <c r="B64">
        <v>7</v>
      </c>
      <c r="C64">
        <f>'hoa'!J4</f>
      </c>
      <c r="D64">
        <f>IF(ISERROR(C64),LEFT(B64&amp;"",1)="#",IF(ISNUMBER(C64),AND(ISNUMBER(B64),ABS(C64-B64)&lt;=0.000001*MAX(1,ABS(B64))),EXACT(C64&amp;"",B64&amp;"")))</f>
      </c>
      <c r="E64">
        <f>ISERROR(C64)</f>
      </c>
    </row>
    <row r="65">
      <c r="A65" t="str">
        <v>J5</v>
      </c>
      <c r="B65">
        <v>7</v>
      </c>
      <c r="C65">
        <f>'hoa'!J5</f>
      </c>
      <c r="D65">
        <f>IF(ISERROR(C65),LEFT(B65&amp;"",1)="#",IF(ISNUMBER(C65),AND(ISNUMBER(B65),ABS(C65-B65)&lt;=0.000001*MAX(1,ABS(B65))),EXACT(C65&amp;"",B65&amp;"")))</f>
      </c>
      <c r="E65">
        <f>ISERROR(C65)</f>
      </c>
    </row>
    <row r="66">
      <c r="A66" t="str">
        <v>J6</v>
      </c>
      <c r="B66">
        <v>7</v>
      </c>
      <c r="C66">
        <f>'hoa'!J6</f>
      </c>
      <c r="D66">
        <f>IF(ISERROR(C66),LEFT(B66&amp;"",1)="#",IF(ISNUMBER(C66),AND(ISNUMBER(B66),ABS(C66-B66)&lt;=0.000001*MAX(1,ABS(B66))),EXACT(C66&amp;"",B66&amp;"")))</f>
      </c>
      <c r="E66">
        <f>ISERROR(C66)</f>
      </c>
    </row>
    <row r="67">
      <c r="A67" t="str">
        <v>J7</v>
      </c>
      <c r="B67">
        <v>7</v>
      </c>
      <c r="C67">
        <f>'hoa'!J7</f>
      </c>
      <c r="D67">
        <f>IF(ISERROR(C67),LEFT(B67&amp;"",1)="#",IF(ISNUMBER(C67),AND(ISNUMBER(B67),ABS(C67-B67)&lt;=0.000001*MAX(1,ABS(B67))),EXACT(C67&amp;"",B67&amp;"")))</f>
      </c>
      <c r="E67">
        <f>ISERROR(C67)</f>
      </c>
    </row>
    <row r="68">
      <c r="A68" t="str">
        <v>J8</v>
      </c>
      <c r="B68">
        <v>7</v>
      </c>
      <c r="C68">
        <f>'hoa'!J8</f>
      </c>
      <c r="D68">
        <f>IF(ISERROR(C68),LEFT(B68&amp;"",1)="#",IF(ISNUMBER(C68),AND(ISNUMBER(B68),ABS(C68-B68)&lt;=0.000001*MAX(1,ABS(B68))),EXACT(C68&amp;"",B68&amp;"")))</f>
      </c>
      <c r="E68">
        <f>ISERROR(C68)</f>
      </c>
    </row>
    <row r="69">
      <c r="A69" t="str">
        <v>J9</v>
      </c>
      <c r="B69">
        <v>13.65</v>
      </c>
      <c r="C69">
        <f>'hoa'!J9</f>
      </c>
      <c r="D69">
        <f>IF(ISERROR(C69),LEFT(B69&amp;"",1)="#",IF(ISNUMBER(C69),AND(ISNUMBER(B69),ABS(C69-B69)&lt;=0.000001*MAX(1,ABS(B69))),EXACT(C69&amp;"",B69&amp;"")))</f>
      </c>
      <c r="E69">
        <f>ISERROR(C69)</f>
      </c>
    </row>
    <row r="70">
      <c r="A70" t="str">
        <v>J10</v>
      </c>
      <c r="B70">
        <v>7</v>
      </c>
      <c r="C70">
        <f>'hoa'!J10</f>
      </c>
      <c r="D70">
        <f>IF(ISERROR(C70),LEFT(B70&amp;"",1)="#",IF(ISNUMBER(C70),AND(ISNUMBER(B70),ABS(C70-B70)&lt;=0.000001*MAX(1,ABS(B70))),EXACT(C70&amp;"",B70&amp;"")))</f>
      </c>
      <c r="E70">
        <f>ISERROR(C70)</f>
      </c>
    </row>
    <row r="71">
      <c r="A71" t="str">
        <v>J11</v>
      </c>
      <c r="B71">
        <v>7</v>
      </c>
      <c r="C71">
        <f>'hoa'!J11</f>
      </c>
      <c r="D71">
        <f>IF(ISERROR(C71),LEFT(B71&amp;"",1)="#",IF(ISNUMBER(C71),AND(ISNUMBER(B71),ABS(C71-B71)&lt;=0.000001*MAX(1,ABS(B71))),EXACT(C71&amp;"",B71&amp;"")))</f>
      </c>
      <c r="E71">
        <f>ISERROR(C71)</f>
      </c>
    </row>
    <row r="72">
      <c r="A72" t="str">
        <v>J12</v>
      </c>
      <c r="B72">
        <v>7</v>
      </c>
      <c r="C72">
        <f>'hoa'!J12</f>
      </c>
      <c r="D72">
        <f>IF(ISERROR(C72),LEFT(B72&amp;"",1)="#",IF(ISNUMBER(C72),AND(ISNUMBER(B72),ABS(C72-B72)&lt;=0.000001*MAX(1,ABS(B72))),EXACT(C72&amp;"",B72&amp;"")))</f>
      </c>
      <c r="E72">
        <f>ISERROR(C72)</f>
      </c>
    </row>
    <row r="73">
      <c r="A73" t="str">
        <v>J13</v>
      </c>
      <c r="B73">
        <v>1.29</v>
      </c>
      <c r="C73">
        <f>'hoa'!J13</f>
      </c>
      <c r="D73">
        <f>IF(ISERROR(C73),LEFT(B73&amp;"",1)="#",IF(ISNUMBER(C73),AND(ISNUMBER(B73),ABS(C73-B73)&lt;=0.000001*MAX(1,ABS(B73))),EXACT(C73&amp;"",B73&amp;"")))</f>
      </c>
      <c r="E73">
        <f>ISERROR(C73)</f>
      </c>
    </row>
    <row r="74">
      <c r="A74" t="str">
        <v>K2</v>
      </c>
      <c r="B74" t="str">
        <v>AXIT</v>
      </c>
      <c r="C74">
        <f>'hoa'!K2</f>
      </c>
      <c r="D74">
        <f>IF(ISERROR(C74),LEFT(B74&amp;"",1)="#",IF(ISNUMBER(C74),AND(ISNUMBER(B74),ABS(C74-B74)&lt;=0.000001*MAX(1,ABS(B74))),EXACT(C74&amp;"",B74&amp;"")))</f>
      </c>
      <c r="E74">
        <f>ISERROR(C74)</f>
      </c>
    </row>
    <row r="75">
      <c r="A75" t="str">
        <v>K3</v>
      </c>
      <c r="B75" t="str">
        <v>BAZO</v>
      </c>
      <c r="C75">
        <f>'hoa'!K3</f>
      </c>
      <c r="D75">
        <f>IF(ISERROR(C75),LEFT(B75&amp;"",1)="#",IF(ISNUMBER(C75),AND(ISNUMBER(B75),ABS(C75-B75)&lt;=0.000001*MAX(1,ABS(B75))),EXACT(C75&amp;"",B75&amp;"")))</f>
      </c>
      <c r="E75">
        <f>ISERROR(C75)</f>
      </c>
    </row>
    <row r="76">
      <c r="A76" t="str">
        <v>K4</v>
      </c>
      <c r="B76" t="str">
        <v>TRUNG TINH</v>
      </c>
      <c r="C76">
        <f>'hoa'!K4</f>
      </c>
      <c r="D76">
        <f>IF(ISERROR(C76),LEFT(B76&amp;"",1)="#",IF(ISNUMBER(C76),AND(ISNUMBER(B76),ABS(C76-B76)&lt;=0.000001*MAX(1,ABS(B76))),EXACT(C76&amp;"",B76&amp;"")))</f>
      </c>
      <c r="E76">
        <f>ISERROR(C76)</f>
      </c>
    </row>
    <row r="77">
      <c r="A77" t="str">
        <v>K5</v>
      </c>
      <c r="B77" t="str">
        <v>TRUNG TINH</v>
      </c>
      <c r="C77">
        <f>'hoa'!K5</f>
      </c>
      <c r="D77">
        <f>IF(ISERROR(C77),LEFT(B77&amp;"",1)="#",IF(ISNUMBER(C77),AND(ISNUMBER(B77),ABS(C77-B77)&lt;=0.000001*MAX(1,ABS(B77))),EXACT(C77&amp;"",B77&amp;"")))</f>
      </c>
      <c r="E77">
        <f>ISERROR(C77)</f>
      </c>
    </row>
    <row r="78">
      <c r="A78" t="str">
        <v>K6</v>
      </c>
      <c r="B78" t="str">
        <v>TRUNG TINH</v>
      </c>
      <c r="C78">
        <f>'hoa'!K6</f>
      </c>
      <c r="D78">
        <f>IF(ISERROR(C78),LEFT(B78&amp;"",1)="#",IF(ISNUMBER(C78),AND(ISNUMBER(B78),ABS(C78-B78)&lt;=0.000001*MAX(1,ABS(B78))),EXACT(C78&amp;"",B78&amp;"")))</f>
      </c>
      <c r="E78">
        <f>ISERROR(C78)</f>
      </c>
    </row>
    <row r="79">
      <c r="A79" t="str">
        <v>K7</v>
      </c>
      <c r="B79" t="str">
        <v>TRUNG TINH</v>
      </c>
      <c r="C79">
        <f>'hoa'!K7</f>
      </c>
      <c r="D79">
        <f>IF(ISERROR(C79),LEFT(B79&amp;"",1)="#",IF(ISNUMBER(C79),AND(ISNUMBER(B79),ABS(C79-B79)&lt;=0.000001*MAX(1,ABS(B79))),EXACT(C79&amp;"",B79&amp;"")))</f>
      </c>
      <c r="E79">
        <f>ISERROR(C79)</f>
      </c>
    </row>
    <row r="80">
      <c r="A80" t="str">
        <v>K8</v>
      </c>
      <c r="B80" t="str">
        <v>TRUNG TINH</v>
      </c>
      <c r="C80">
        <f>'hoa'!K8</f>
      </c>
      <c r="D80">
        <f>IF(ISERROR(C80),LEFT(B80&amp;"",1)="#",IF(ISNUMBER(C80),AND(ISNUMBER(B80),ABS(C80-B80)&lt;=0.000001*MAX(1,ABS(B80))),EXACT(C80&amp;"",B80&amp;"")))</f>
      </c>
      <c r="E80">
        <f>ISERROR(C80)</f>
      </c>
    </row>
    <row r="81">
      <c r="A81" t="str">
        <v>K9</v>
      </c>
      <c r="B81" t="str">
        <v>BAZO</v>
      </c>
      <c r="C81">
        <f>'hoa'!K9</f>
      </c>
      <c r="D81">
        <f>IF(ISERROR(C81),LEFT(B81&amp;"",1)="#",IF(ISNUMBER(C81),AND(ISNUMBER(B81),ABS(C81-B81)&lt;=0.000001*MAX(1,ABS(B81))),EXACT(C81&amp;"",B81&amp;"")))</f>
      </c>
      <c r="E81">
        <f>ISERROR(C81)</f>
      </c>
    </row>
    <row r="82">
      <c r="A82" t="str">
        <v>K10</v>
      </c>
      <c r="B82" t="str">
        <v>TRUNG TINH</v>
      </c>
      <c r="C82">
        <f>'hoa'!K10</f>
      </c>
      <c r="D82">
        <f>IF(ISERROR(C82),LEFT(B82&amp;"",1)="#",IF(ISNUMBER(C82),AND(ISNUMBER(B82),ABS(C82-B82)&lt;=0.000001*MAX(1,ABS(B82))),EXACT(C82&amp;"",B82&amp;"")))</f>
      </c>
      <c r="E82">
        <f>ISERROR(C82)</f>
      </c>
    </row>
    <row r="83">
      <c r="A83" t="str">
        <v>K11</v>
      </c>
      <c r="B83" t="str">
        <v>TRUNG TINH</v>
      </c>
      <c r="C83">
        <f>'hoa'!K11</f>
      </c>
      <c r="D83">
        <f>IF(ISERROR(C83),LEFT(B83&amp;"",1)="#",IF(ISNUMBER(C83),AND(ISNUMBER(B83),ABS(C83-B83)&lt;=0.000001*MAX(1,ABS(B83))),EXACT(C83&amp;"",B83&amp;"")))</f>
      </c>
      <c r="E83">
        <f>ISERROR(C83)</f>
      </c>
    </row>
    <row r="84">
      <c r="A84" t="str">
        <v>K12</v>
      </c>
      <c r="B84" t="str">
        <v>TRUNG TINH</v>
      </c>
      <c r="C84">
        <f>'hoa'!K12</f>
      </c>
      <c r="D84">
        <f>IF(ISERROR(C84),LEFT(B84&amp;"",1)="#",IF(ISNUMBER(C84),AND(ISNUMBER(B84),ABS(C84-B84)&lt;=0.000001*MAX(1,ABS(B84))),EXACT(C84&amp;"",B84&amp;"")))</f>
      </c>
      <c r="E84">
        <f>ISERROR(C84)</f>
      </c>
    </row>
    <row r="85">
      <c r="A85" t="str">
        <v>K13</v>
      </c>
      <c r="B85" t="str">
        <v>AXIT</v>
      </c>
      <c r="C85">
        <f>'hoa'!K13</f>
      </c>
      <c r="D85">
        <f>IF(ISERROR(C85),LEFT(B85&amp;"",1)="#",IF(ISNUMBER(C85),AND(ISNUMBER(B85),ABS(C85-B85)&lt;=0.000001*MAX(1,ABS(B85))),EXACT(C85&amp;"",B85&amp;"")))</f>
      </c>
      <c r="E85">
        <f>ISERROR(C85)</f>
      </c>
    </row>
    <row r="86">
      <c r="A86" t="str">
        <v>Z2</v>
      </c>
      <c r="B86" t="str">
        <v>MU03</v>
      </c>
      <c r="C86">
        <f>'hoa'!Z2</f>
      </c>
      <c r="D86">
        <f>IF(ISERROR(C86),LEFT(B86&amp;"",1)="#",IF(ISNUMBER(C86),AND(ISNUMBER(B86),ABS(C86-B86)&lt;=0.000001*MAX(1,ABS(B86))),EXACT(C86&amp;"",B86&amp;"")))</f>
      </c>
      <c r="E86">
        <f>ISERROR(C86)</f>
      </c>
    </row>
    <row r="87">
      <c r="A87" t="str">
        <v>Z3</v>
      </c>
      <c r="B87">
        <v>0.1945</v>
      </c>
      <c r="C87">
        <f>'hoa'!Z3</f>
      </c>
      <c r="D87">
        <f>IF(ISERROR(C87),LEFT(B87&amp;"",1)="#",IF(ISNUMBER(C87),AND(ISNUMBER(B87),ABS(C87-B87)&lt;=0.000001*MAX(1,ABS(B87))),EXACT(C87&amp;"",B87&amp;"")))</f>
      </c>
      <c r="E87">
        <f>ISERROR(C87)</f>
      </c>
    </row>
    <row r="88">
      <c r="A88" t="str">
        <v>Z4</v>
      </c>
      <c r="B88">
        <v>0</v>
      </c>
      <c r="C88">
        <f>'hoa'!Z4</f>
      </c>
      <c r="D88">
        <f>IF(ISERROR(C88),LEFT(B88&amp;"",1)="#",IF(ISNUMBER(C88),AND(ISNUMBER(B88),ABS(C88-B88)&lt;=0.000001*MAX(1,ABS(B88))),EXACT(C88&amp;"",B88&amp;"")))</f>
      </c>
      <c r="E88">
        <f>ISERROR(C88)</f>
      </c>
    </row>
    <row r="89">
      <c r="A89" t="str">
        <v>Z5</v>
      </c>
      <c r="B89">
        <v>0.7131749999999999</v>
      </c>
      <c r="C89">
        <f>'hoa'!Z5</f>
      </c>
      <c r="D89">
        <f>IF(ISERROR(C89),LEFT(B89&amp;"",1)="#",IF(ISNUMBER(C89),AND(ISNUMBER(B89),ABS(C89-B89)&lt;=0.000001*MAX(1,ABS(B89))),EXACT(C89&amp;"",B89&amp;"")))</f>
      </c>
      <c r="E89">
        <f>ISERROR(C89)</f>
      </c>
    </row>
    <row r="90">
      <c r="A90" t="str">
        <v>Z6</v>
      </c>
      <c r="B90">
        <v>13.65</v>
      </c>
      <c r="C90">
        <f>'hoa'!Z6</f>
      </c>
      <c r="D90">
        <f>IF(ISERROR(C90),LEFT(B90&amp;"",1)="#",IF(ISNUMBER(C90),AND(ISNUMBER(B90),ABS(C90-B90)&lt;=0.000001*MAX(1,ABS(B90))),EXACT(C90&amp;"",B90&amp;"")))</f>
      </c>
      <c r="E90">
        <f>ISERROR(C90)</f>
      </c>
    </row>
    <row r="91">
      <c r="A91" t="str">
        <v>Z7</v>
      </c>
      <c r="B91">
        <v>7</v>
      </c>
      <c r="C91">
        <f>'hoa'!Z7</f>
      </c>
      <c r="D91">
        <f>IF(ISERROR(C91),LEFT(B91&amp;"",1)="#",IF(ISNUMBER(C91),AND(ISNUMBER(B91),ABS(C91-B91)&lt;=0.000001*MAX(1,ABS(B91))),EXACT(C91&amp;"",B91&amp;"")))</f>
      </c>
      <c r="E91">
        <f>ISERROR(C91)</f>
      </c>
    </row>
    <row r="92">
      <c r="A92" t="str">
        <v>Z8</v>
      </c>
      <c r="B92">
        <v>1.1409</v>
      </c>
      <c r="C92">
        <f>'hoa'!Z8</f>
      </c>
      <c r="D92">
        <f>IF(ISERROR(C92),LEFT(B92&amp;"",1)="#",IF(ISNUMBER(C92),AND(ISNUMBER(B92),ABS(C92-B92)&lt;=0.000001*MAX(1,ABS(B92))),EXACT(C92&amp;"",B92&amp;"")))</f>
      </c>
      <c r="E92">
        <f>ISERROR(C92)</f>
      </c>
    </row>
    <row r="93">
      <c r="A93" t="str">
        <v>Z9</v>
      </c>
      <c r="B93">
        <v>3.8</v>
      </c>
      <c r="C93">
        <f>'hoa'!Z9</f>
      </c>
      <c r="D93">
        <f>IF(ISERROR(C93),LEFT(B93&amp;"",1)="#",IF(ISNUMBER(C93),AND(ISNUMBER(B93),ABS(C93-B93)&lt;=0.000001*MAX(1,ABS(B93))),EXACT(C93&amp;"",B93&amp;"")))</f>
      </c>
      <c r="E93">
        <f>ISERROR(C93)</f>
      </c>
    </row>
    <row r="94">
      <c r="A94" t="str">
        <v>Z10</v>
      </c>
      <c r="B94">
        <v>0.3115</v>
      </c>
      <c r="C94">
        <f>'hoa'!Z10</f>
      </c>
      <c r="D94">
        <f>IF(ISERROR(C94),LEFT(B94&amp;"",1)="#",IF(ISNUMBER(C94),AND(ISNUMBER(B94),ABS(C94-B94)&lt;=0.000001*MAX(1,ABS(B94))),EXACT(C94&amp;"",B94&amp;"")))</f>
      </c>
      <c r="E94">
        <f>ISERROR(C94)</f>
      </c>
    </row>
    <row r="95">
      <c r="A95" t="str">
        <v>Z11</v>
      </c>
      <c r="B95">
        <v>2</v>
      </c>
      <c r="C95">
        <f>'hoa'!Z11</f>
      </c>
      <c r="D95">
        <f>IF(ISERROR(C95),LEFT(B95&amp;"",1)="#",IF(ISNUMBER(C95),AND(ISNUMBER(B95),ABS(C95-B95)&lt;=0.000001*MAX(1,ABS(B95))),EXACT(C95&amp;"",B95&amp;"")))</f>
      </c>
      <c r="E95">
        <f>ISERROR(C95)</f>
      </c>
    </row>
    <row r="96">
      <c r="A96" t="str">
        <v>Z12</v>
      </c>
      <c r="B96">
        <v>0.21250000000000002</v>
      </c>
      <c r="C96">
        <f>'hoa'!Z12</f>
      </c>
      <c r="D96">
        <f>IF(ISERROR(C96),LEFT(B96&amp;"",1)="#",IF(ISNUMBER(C96),AND(ISNUMBER(B96),ABS(C96-B96)&lt;=0.000001*MAX(1,ABS(B96))),EXACT(C96&amp;"",B96&amp;"")))</f>
      </c>
      <c r="E96">
        <f>ISERROR(C96)</f>
      </c>
    </row>
    <row r="97">
      <c r="A97" t="str">
        <v>Z13</v>
      </c>
      <c r="B97">
        <v>2</v>
      </c>
      <c r="C97">
        <f>'hoa'!Z13</f>
      </c>
      <c r="D97">
        <f>IF(ISERROR(C97),LEFT(B97&amp;"",1)="#",IF(ISNUMBER(C97),AND(ISNUMBER(B97),ABS(C97-B97)&lt;=0.000001*MAX(1,ABS(B97))),EXACT(C97&amp;"",B97&amp;"")))</f>
      </c>
      <c r="E97">
        <f>ISERROR(C97)</f>
      </c>
    </row>
  </sheetData>
  <ignoredErrors>
    <ignoredError numberStoredAsText="1" sqref="A1:E97"/>
  </ignoredErrors>
</worksheet>
</file>

<file path=xl/worksheets/sheet4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MaDay</v>
      </c>
      <c r="B1" t="str">
        <v>u1</v>
      </c>
      <c r="C1" t="str">
        <v>d</v>
      </c>
      <c r="D1" t="str">
        <v>q</v>
      </c>
      <c r="E1" t="str">
        <v>n</v>
      </c>
      <c r="F1" t="str">
        <v>un</v>
      </c>
      <c r="G1" t="str">
        <v>SnCSC</v>
      </c>
      <c r="H1" t="str">
        <v>vn</v>
      </c>
      <c r="I1" t="str">
        <v>TnCSN</v>
      </c>
      <c r="J1" t="str">
        <v>SoSanh</v>
      </c>
      <c r="W1" t="str">
        <v>SoSanh</v>
      </c>
      <c r="Y1" t="str">
        <v>TongHop</v>
      </c>
      <c r="Z1" t="str">
        <v>KetQua</v>
      </c>
    </row>
    <row r="2">
      <c r="A2" t="str">
        <v>D01</v>
      </c>
      <c r="B2">
        <v>7</v>
      </c>
      <c r="C2">
        <v>3</v>
      </c>
      <c r="D2">
        <v>2</v>
      </c>
      <c r="E2">
        <v>3</v>
      </c>
      <c r="F2">
        <f>B2+(E2-1)*C2</f>
        <v>13</v>
      </c>
      <c r="G2">
        <f>E2*(2*B2+(E2-1)*C2)/2</f>
        <v>30</v>
      </c>
      <c r="H2">
        <f>B2*POWER(D2,E2-1)</f>
        <v>28</v>
      </c>
      <c r="I2">
        <f>B2*(POWER(D2,E2)-1)/(D2-1)</f>
        <v>49</v>
      </c>
      <c r="J2" t="str">
        <f>IF(H2&gt;F2,"CSN LON HON",IF(H2=F2,"BANG","CSC LON HON"))</f>
        <v>CSN LON HON</v>
      </c>
      <c r="W2" t="str">
        <v>CSN LON HON</v>
      </c>
      <c r="Y2" t="str">
        <v>Ma MaDay co TnCSN lon nhat</v>
      </c>
      <c r="Z2" t="str">
        <f>INDEX(A2:A13,MATCH(MAX(I2:I13),I2:I13,0))</f>
        <v>D04</v>
      </c>
    </row>
    <row r="3">
      <c r="A3" t="str">
        <v>D02</v>
      </c>
      <c r="B3">
        <v>2</v>
      </c>
      <c r="C3">
        <v>6</v>
      </c>
      <c r="D3">
        <v>2</v>
      </c>
      <c r="E3">
        <v>8</v>
      </c>
      <c r="F3">
        <f>B3+(E3-1)*C3</f>
        <v>44</v>
      </c>
      <c r="G3">
        <f>E3*(2*B3+(E3-1)*C3)/2</f>
        <v>184</v>
      </c>
      <c r="H3">
        <f>B3*POWER(D3,E3-1)</f>
        <v>256</v>
      </c>
      <c r="I3">
        <f>B3*(POWER(D3,E3)-1)/(D3-1)</f>
        <v>510</v>
      </c>
      <c r="J3" t="str">
        <f>IF(H3&gt;F3,"CSN LON HON",IF(H3=F3,"BANG","CSC LON HON"))</f>
        <v>CSN LON HON</v>
      </c>
      <c r="Y3" t="str">
        <v>Tong TnCSN khi SoSanh = CSN LON HON</v>
      </c>
      <c r="Z3">
        <f>SUMIF(J2:J13,"CSN LON HON",I2:I13)</f>
        <v>28823</v>
      </c>
    </row>
    <row r="4">
      <c r="A4" t="str">
        <v>D03</v>
      </c>
      <c r="B4">
        <v>3</v>
      </c>
      <c r="C4">
        <v>5</v>
      </c>
      <c r="D4">
        <v>3</v>
      </c>
      <c r="E4">
        <v>4</v>
      </c>
      <c r="F4">
        <f>B4+(E4-1)*C4</f>
        <v>18</v>
      </c>
      <c r="G4">
        <f>E4*(2*B4+(E4-1)*C4)/2</f>
        <v>42</v>
      </c>
      <c r="H4">
        <f>B4*POWER(D4,E4-1)</f>
        <v>81</v>
      </c>
      <c r="I4">
        <f>B4*(POWER(D4,E4)-1)/(D4-1)</f>
        <v>120</v>
      </c>
      <c r="J4" t="str">
        <f>IF(H4&gt;F4,"CSN LON HON",IF(H4=F4,"BANG","CSC LON HON"))</f>
        <v>CSN LON HON</v>
      </c>
      <c r="Y4" t="str">
        <v>So dong SoSanh = CSN LON HON, n &gt;=5</v>
      </c>
      <c r="Z4">
        <f>COUNTIFS(J2:J13,"CSN LON HON",E2:E13,"&gt;=5")</f>
        <v>7</v>
      </c>
    </row>
    <row r="5">
      <c r="A5" t="str">
        <v>D04</v>
      </c>
      <c r="B5">
        <v>4</v>
      </c>
      <c r="C5">
        <v>6</v>
      </c>
      <c r="D5">
        <v>3</v>
      </c>
      <c r="E5">
        <v>8</v>
      </c>
      <c r="F5">
        <f>B5+(E5-1)*C5</f>
        <v>46</v>
      </c>
      <c r="G5">
        <f>E5*(2*B5+(E5-1)*C5)/2</f>
        <v>200</v>
      </c>
      <c r="H5">
        <f>B5*POWER(D5,E5-1)</f>
        <v>8748</v>
      </c>
      <c r="I5">
        <f>B5*(POWER(D5,E5)-1)/(D5-1)</f>
        <v>13120</v>
      </c>
      <c r="J5" t="str">
        <f>IF(H5&gt;F5,"CSN LON HON",IF(H5=F5,"BANG","CSC LON HON"))</f>
        <v>CSN LON HON</v>
      </c>
      <c r="Y5" t="str">
        <v>SnCSC trung binh khi SoSanh = CSN LON HON</v>
      </c>
      <c r="Z5">
        <f>AVERAGEIF(J2:J13,"CSN LON HON",G2:G13)</f>
        <v>95</v>
      </c>
    </row>
    <row r="6">
      <c r="A6" t="str">
        <v>D05</v>
      </c>
      <c r="B6">
        <v>2</v>
      </c>
      <c r="C6">
        <v>5</v>
      </c>
      <c r="D6">
        <v>3</v>
      </c>
      <c r="E6">
        <v>4</v>
      </c>
      <c r="F6">
        <f>B6+(E6-1)*C6</f>
        <v>17</v>
      </c>
      <c r="G6">
        <f>E6*(2*B6+(E6-1)*C6)/2</f>
        <v>38</v>
      </c>
      <c r="H6">
        <f>B6*POWER(D6,E6-1)</f>
        <v>54</v>
      </c>
      <c r="I6">
        <f>B6*(POWER(D6,E6)-1)/(D6-1)</f>
        <v>80</v>
      </c>
      <c r="J6" t="str">
        <f>IF(H6&gt;F6,"CSN LON HON",IF(H6=F6,"BANG","CSC LON HON"))</f>
        <v>CSN LON HON</v>
      </c>
      <c r="Y6" t="str">
        <v>vn lon nhat khi SoSanh = CSN LON HON</v>
      </c>
      <c r="Z6">
        <f>_xlfn.MAXIFS(H2:H13,J2:J13,"CSN LON HON")</f>
        <v>8748</v>
      </c>
    </row>
    <row r="7">
      <c r="A7" t="str">
        <v>D06</v>
      </c>
      <c r="B7">
        <v>9</v>
      </c>
      <c r="C7">
        <v>6</v>
      </c>
      <c r="D7">
        <v>2</v>
      </c>
      <c r="E7">
        <v>5</v>
      </c>
      <c r="F7">
        <f>B7+(E7-1)*C7</f>
        <v>33</v>
      </c>
      <c r="G7">
        <f>E7*(2*B7+(E7-1)*C7)/2</f>
        <v>105</v>
      </c>
      <c r="H7">
        <f>B7*POWER(D7,E7-1)</f>
        <v>144</v>
      </c>
      <c r="I7">
        <f>B7*(POWER(D7,E7)-1)/(D7-1)</f>
        <v>279</v>
      </c>
      <c r="J7" t="str">
        <f>IF(H7&gt;F7,"CSN LON HON",IF(H7=F7,"BANG","CSC LON HON"))</f>
        <v>CSN LON HON</v>
      </c>
      <c r="Y7" t="str">
        <v>un trung vi</v>
      </c>
      <c r="Z7">
        <f>MEDIAN(F2:F13)</f>
        <v>24</v>
      </c>
    </row>
    <row r="8">
      <c r="A8" t="str">
        <v>D07</v>
      </c>
      <c r="B8">
        <v>3</v>
      </c>
      <c r="C8">
        <v>4</v>
      </c>
      <c r="D8">
        <v>2</v>
      </c>
      <c r="E8">
        <v>4</v>
      </c>
      <c r="F8">
        <f>B8+(E8-1)*C8</f>
        <v>15</v>
      </c>
      <c r="G8">
        <f>E8*(2*B8+(E8-1)*C8)/2</f>
        <v>36</v>
      </c>
      <c r="H8">
        <f>B8*POWER(D8,E8-1)</f>
        <v>24</v>
      </c>
      <c r="I8">
        <f>B8*(POWER(D8,E8)-1)/(D8-1)</f>
        <v>45</v>
      </c>
      <c r="J8" t="str">
        <f>IF(H8&gt;F8,"CSN LON HON",IF(H8=F8,"BANG","CSC LON HON"))</f>
        <v>CSN LON HON</v>
      </c>
      <c r="Y8" t="str">
        <v>un lon thu hai</v>
      </c>
      <c r="Z8">
        <f>LARGE(F2:F13,2)</f>
        <v>44</v>
      </c>
    </row>
    <row r="9">
      <c r="A9" t="str">
        <v>D08</v>
      </c>
      <c r="B9">
        <v>5</v>
      </c>
      <c r="C9">
        <v>6</v>
      </c>
      <c r="D9">
        <v>3</v>
      </c>
      <c r="E9">
        <v>7</v>
      </c>
      <c r="F9">
        <f>B9+(E9-1)*C9</f>
        <v>41</v>
      </c>
      <c r="G9">
        <f>E9*(2*B9+(E9-1)*C9)/2</f>
        <v>161</v>
      </c>
      <c r="H9">
        <f>B9*POWER(D9,E9-1)</f>
        <v>3645</v>
      </c>
      <c r="I9">
        <f>B9*(POWER(D9,E9)-1)/(D9-1)</f>
        <v>5465</v>
      </c>
      <c r="J9" t="str">
        <f>IF(H9&gt;F9,"CSN LON HON",IF(H9=F9,"BANG","CSC LON HON"))</f>
        <v>CSN LON HON</v>
      </c>
      <c r="Y9" t="str">
        <v>Do lech chuan un</v>
      </c>
      <c r="Z9">
        <f>ROUND(STDEV(F2:F13),2)</f>
        <v>14.23</v>
      </c>
    </row>
    <row r="10">
      <c r="A10" t="str">
        <v>D09</v>
      </c>
      <c r="B10">
        <v>8</v>
      </c>
      <c r="C10">
        <v>6</v>
      </c>
      <c r="D10">
        <v>3</v>
      </c>
      <c r="E10">
        <v>7</v>
      </c>
      <c r="F10">
        <f>B10+(E10-1)*C10</f>
        <v>44</v>
      </c>
      <c r="G10">
        <f>E10*(2*B10+(E10-1)*C10)/2</f>
        <v>182</v>
      </c>
      <c r="H10">
        <f>B10*POWER(D10,E10-1)</f>
        <v>5832</v>
      </c>
      <c r="I10">
        <f>B10*(POWER(D10,E10)-1)/(D10-1)</f>
        <v>8744</v>
      </c>
      <c r="J10" t="str">
        <f>IF(H10&gt;F10,"CSN LON HON",IF(H10=F10,"BANG","CSC LON HON"))</f>
        <v>CSN LON HON</v>
      </c>
      <c r="Y10" t="str">
        <v>Tong TnCSN theo tieu chi W1:W2</v>
      </c>
      <c r="Z10">
        <f>DSUM(A1:J13,"TnCSN",W1:W2)</f>
        <v>28823</v>
      </c>
    </row>
    <row r="11">
      <c r="A11" t="str">
        <v>D10</v>
      </c>
      <c r="B11">
        <v>4</v>
      </c>
      <c r="C11">
        <v>6</v>
      </c>
      <c r="D11">
        <v>2</v>
      </c>
      <c r="E11">
        <v>5</v>
      </c>
      <c r="F11">
        <f>B11+(E11-1)*C11</f>
        <v>28</v>
      </c>
      <c r="G11">
        <f>E11*(2*B11+(E11-1)*C11)/2</f>
        <v>80</v>
      </c>
      <c r="H11">
        <f>B11*POWER(D11,E11-1)</f>
        <v>64</v>
      </c>
      <c r="I11">
        <f>B11*(POWER(D11,E11)-1)/(D11-1)</f>
        <v>124</v>
      </c>
      <c r="J11" t="str">
        <f>IF(H11&gt;F11,"CSN LON HON",IF(H11=F11,"BANG","CSC LON HON"))</f>
        <v>CSN LON HON</v>
      </c>
      <c r="Y11" t="str">
        <v>So dong theo tieu chi W1:W2</v>
      </c>
      <c r="Z11">
        <f>DCOUNT(A1:J13,"TnCSN",W1:W2)</f>
        <v>12</v>
      </c>
    </row>
    <row r="12">
      <c r="A12" t="str">
        <v>D11</v>
      </c>
      <c r="B12">
        <v>3</v>
      </c>
      <c r="C12">
        <v>1</v>
      </c>
      <c r="D12">
        <v>3</v>
      </c>
      <c r="E12">
        <v>3</v>
      </c>
      <c r="F12">
        <f>B12+(E12-1)*C12</f>
        <v>5</v>
      </c>
      <c r="G12">
        <f>E12*(2*B12+(E12-1)*C12)/2</f>
        <v>12</v>
      </c>
      <c r="H12">
        <f>B12*POWER(D12,E12-1)</f>
        <v>27</v>
      </c>
      <c r="I12">
        <f>B12*(POWER(D12,E12)-1)/(D12-1)</f>
        <v>39</v>
      </c>
      <c r="J12" t="str">
        <f>IF(H12&gt;F12,"CSN LON HON",IF(H12=F12,"BANG","CSC LON HON"))</f>
        <v>CSN LON HON</v>
      </c>
      <c r="Y12" t="str">
        <v>Tong TnCSN khi SoSanh = CSN LON HON (SUMPRODUCT)</v>
      </c>
      <c r="Z12">
        <f>SUMPRODUCT((J2:J13="CSN LON HON")*I2:I13)</f>
        <v>28823</v>
      </c>
    </row>
    <row r="13">
      <c r="A13" t="str">
        <v>D12</v>
      </c>
      <c r="B13">
        <v>8</v>
      </c>
      <c r="C13">
        <v>3</v>
      </c>
      <c r="D13">
        <v>2</v>
      </c>
      <c r="E13">
        <v>5</v>
      </c>
      <c r="F13">
        <f>B13+(E13-1)*C13</f>
        <v>20</v>
      </c>
      <c r="G13">
        <f>E13*(2*B13+(E13-1)*C13)/2</f>
        <v>70</v>
      </c>
      <c r="H13">
        <f>B13*POWER(D13,E13-1)</f>
        <v>128</v>
      </c>
      <c r="I13">
        <f>B13*(POWER(D13,E13)-1)/(D13-1)</f>
        <v>248</v>
      </c>
      <c r="J13" t="str">
        <f>IF(H13&gt;F13,"CSN LON HON",IF(H13=F13,"BANG","CSC LON HON"))</f>
        <v>CSN LON HON</v>
      </c>
      <c r="Y13" t="str">
        <v>Tong u1 x n</v>
      </c>
      <c r="Z13">
        <f>SUMPRODUCT(B2:B13,E2:E13)</f>
        <v>306</v>
      </c>
    </row>
  </sheetData>
  <ignoredErrors>
    <ignoredError numberStoredAsText="1" sqref="A1:Z13"/>
  </ignoredErrors>
</worksheet>
</file>

<file path=xl/worksheets/sheet45.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13</v>
      </c>
      <c r="C2">
        <f>'toan11'!F2</f>
      </c>
      <c r="D2">
        <f>IF(ISERROR(C2),LEFT(B2&amp;"",1)="#",IF(ISNUMBER(C2),AND(ISNUMBER(B2),ABS(C2-B2)&lt;=0.000001*MAX(1,ABS(B2))),EXACT(C2&amp;"",B2&amp;"")))</f>
      </c>
      <c r="E2">
        <f>ISERROR(C2)</f>
      </c>
    </row>
    <row r="3">
      <c r="A3" t="str">
        <v>F3</v>
      </c>
      <c r="B3">
        <v>44</v>
      </c>
      <c r="C3">
        <f>'toan11'!F3</f>
      </c>
      <c r="D3">
        <f>IF(ISERROR(C3),LEFT(B3&amp;"",1)="#",IF(ISNUMBER(C3),AND(ISNUMBER(B3),ABS(C3-B3)&lt;=0.000001*MAX(1,ABS(B3))),EXACT(C3&amp;"",B3&amp;"")))</f>
      </c>
      <c r="E3">
        <f>ISERROR(C3)</f>
      </c>
    </row>
    <row r="4">
      <c r="A4" t="str">
        <v>F4</v>
      </c>
      <c r="B4">
        <v>18</v>
      </c>
      <c r="C4">
        <f>'toan11'!F4</f>
      </c>
      <c r="D4">
        <f>IF(ISERROR(C4),LEFT(B4&amp;"",1)="#",IF(ISNUMBER(C4),AND(ISNUMBER(B4),ABS(C4-B4)&lt;=0.000001*MAX(1,ABS(B4))),EXACT(C4&amp;"",B4&amp;"")))</f>
      </c>
      <c r="E4">
        <f>ISERROR(C4)</f>
      </c>
    </row>
    <row r="5">
      <c r="A5" t="str">
        <v>F5</v>
      </c>
      <c r="B5">
        <v>46</v>
      </c>
      <c r="C5">
        <f>'toan11'!F5</f>
      </c>
      <c r="D5">
        <f>IF(ISERROR(C5),LEFT(B5&amp;"",1)="#",IF(ISNUMBER(C5),AND(ISNUMBER(B5),ABS(C5-B5)&lt;=0.000001*MAX(1,ABS(B5))),EXACT(C5&amp;"",B5&amp;"")))</f>
      </c>
      <c r="E5">
        <f>ISERROR(C5)</f>
      </c>
    </row>
    <row r="6">
      <c r="A6" t="str">
        <v>F6</v>
      </c>
      <c r="B6">
        <v>17</v>
      </c>
      <c r="C6">
        <f>'toan11'!F6</f>
      </c>
      <c r="D6">
        <f>IF(ISERROR(C6),LEFT(B6&amp;"",1)="#",IF(ISNUMBER(C6),AND(ISNUMBER(B6),ABS(C6-B6)&lt;=0.000001*MAX(1,ABS(B6))),EXACT(C6&amp;"",B6&amp;"")))</f>
      </c>
      <c r="E6">
        <f>ISERROR(C6)</f>
      </c>
    </row>
    <row r="7">
      <c r="A7" t="str">
        <v>F7</v>
      </c>
      <c r="B7">
        <v>33</v>
      </c>
      <c r="C7">
        <f>'toan11'!F7</f>
      </c>
      <c r="D7">
        <f>IF(ISERROR(C7),LEFT(B7&amp;"",1)="#",IF(ISNUMBER(C7),AND(ISNUMBER(B7),ABS(C7-B7)&lt;=0.000001*MAX(1,ABS(B7))),EXACT(C7&amp;"",B7&amp;"")))</f>
      </c>
      <c r="E7">
        <f>ISERROR(C7)</f>
      </c>
    </row>
    <row r="8">
      <c r="A8" t="str">
        <v>F8</v>
      </c>
      <c r="B8">
        <v>15</v>
      </c>
      <c r="C8">
        <f>'toan11'!F8</f>
      </c>
      <c r="D8">
        <f>IF(ISERROR(C8),LEFT(B8&amp;"",1)="#",IF(ISNUMBER(C8),AND(ISNUMBER(B8),ABS(C8-B8)&lt;=0.000001*MAX(1,ABS(B8))),EXACT(C8&amp;"",B8&amp;"")))</f>
      </c>
      <c r="E8">
        <f>ISERROR(C8)</f>
      </c>
    </row>
    <row r="9">
      <c r="A9" t="str">
        <v>F9</v>
      </c>
      <c r="B9">
        <v>41</v>
      </c>
      <c r="C9">
        <f>'toan11'!F9</f>
      </c>
      <c r="D9">
        <f>IF(ISERROR(C9),LEFT(B9&amp;"",1)="#",IF(ISNUMBER(C9),AND(ISNUMBER(B9),ABS(C9-B9)&lt;=0.000001*MAX(1,ABS(B9))),EXACT(C9&amp;"",B9&amp;"")))</f>
      </c>
      <c r="E9">
        <f>ISERROR(C9)</f>
      </c>
    </row>
    <row r="10">
      <c r="A10" t="str">
        <v>F10</v>
      </c>
      <c r="B10">
        <v>44</v>
      </c>
      <c r="C10">
        <f>'toan11'!F10</f>
      </c>
      <c r="D10">
        <f>IF(ISERROR(C10),LEFT(B10&amp;"",1)="#",IF(ISNUMBER(C10),AND(ISNUMBER(B10),ABS(C10-B10)&lt;=0.000001*MAX(1,ABS(B10))),EXACT(C10&amp;"",B10&amp;"")))</f>
      </c>
      <c r="E10">
        <f>ISERROR(C10)</f>
      </c>
    </row>
    <row r="11">
      <c r="A11" t="str">
        <v>F11</v>
      </c>
      <c r="B11">
        <v>28</v>
      </c>
      <c r="C11">
        <f>'toan11'!F11</f>
      </c>
      <c r="D11">
        <f>IF(ISERROR(C11),LEFT(B11&amp;"",1)="#",IF(ISNUMBER(C11),AND(ISNUMBER(B11),ABS(C11-B11)&lt;=0.000001*MAX(1,ABS(B11))),EXACT(C11&amp;"",B11&amp;"")))</f>
      </c>
      <c r="E11">
        <f>ISERROR(C11)</f>
      </c>
    </row>
    <row r="12">
      <c r="A12" t="str">
        <v>F12</v>
      </c>
      <c r="B12">
        <v>5</v>
      </c>
      <c r="C12">
        <f>'toan11'!F12</f>
      </c>
      <c r="D12">
        <f>IF(ISERROR(C12),LEFT(B12&amp;"",1)="#",IF(ISNUMBER(C12),AND(ISNUMBER(B12),ABS(C12-B12)&lt;=0.000001*MAX(1,ABS(B12))),EXACT(C12&amp;"",B12&amp;"")))</f>
      </c>
      <c r="E12">
        <f>ISERROR(C12)</f>
      </c>
    </row>
    <row r="13">
      <c r="A13" t="str">
        <v>F13</v>
      </c>
      <c r="B13">
        <v>20</v>
      </c>
      <c r="C13">
        <f>'toan11'!F13</f>
      </c>
      <c r="D13">
        <f>IF(ISERROR(C13),LEFT(B13&amp;"",1)="#",IF(ISNUMBER(C13),AND(ISNUMBER(B13),ABS(C13-B13)&lt;=0.000001*MAX(1,ABS(B13))),EXACT(C13&amp;"",B13&amp;"")))</f>
      </c>
      <c r="E13">
        <f>ISERROR(C13)</f>
      </c>
    </row>
    <row r="14">
      <c r="A14" t="str">
        <v>G2</v>
      </c>
      <c r="B14">
        <v>30</v>
      </c>
      <c r="C14">
        <f>'toan11'!G2</f>
      </c>
      <c r="D14">
        <f>IF(ISERROR(C14),LEFT(B14&amp;"",1)="#",IF(ISNUMBER(C14),AND(ISNUMBER(B14),ABS(C14-B14)&lt;=0.000001*MAX(1,ABS(B14))),EXACT(C14&amp;"",B14&amp;"")))</f>
      </c>
      <c r="E14">
        <f>ISERROR(C14)</f>
      </c>
    </row>
    <row r="15">
      <c r="A15" t="str">
        <v>G3</v>
      </c>
      <c r="B15">
        <v>184</v>
      </c>
      <c r="C15">
        <f>'toan11'!G3</f>
      </c>
      <c r="D15">
        <f>IF(ISERROR(C15),LEFT(B15&amp;"",1)="#",IF(ISNUMBER(C15),AND(ISNUMBER(B15),ABS(C15-B15)&lt;=0.000001*MAX(1,ABS(B15))),EXACT(C15&amp;"",B15&amp;"")))</f>
      </c>
      <c r="E15">
        <f>ISERROR(C15)</f>
      </c>
    </row>
    <row r="16">
      <c r="A16" t="str">
        <v>G4</v>
      </c>
      <c r="B16">
        <v>42</v>
      </c>
      <c r="C16">
        <f>'toan11'!G4</f>
      </c>
      <c r="D16">
        <f>IF(ISERROR(C16),LEFT(B16&amp;"",1)="#",IF(ISNUMBER(C16),AND(ISNUMBER(B16),ABS(C16-B16)&lt;=0.000001*MAX(1,ABS(B16))),EXACT(C16&amp;"",B16&amp;"")))</f>
      </c>
      <c r="E16">
        <f>ISERROR(C16)</f>
      </c>
    </row>
    <row r="17">
      <c r="A17" t="str">
        <v>G5</v>
      </c>
      <c r="B17">
        <v>200</v>
      </c>
      <c r="C17">
        <f>'toan11'!G5</f>
      </c>
      <c r="D17">
        <f>IF(ISERROR(C17),LEFT(B17&amp;"",1)="#",IF(ISNUMBER(C17),AND(ISNUMBER(B17),ABS(C17-B17)&lt;=0.000001*MAX(1,ABS(B17))),EXACT(C17&amp;"",B17&amp;"")))</f>
      </c>
      <c r="E17">
        <f>ISERROR(C17)</f>
      </c>
    </row>
    <row r="18">
      <c r="A18" t="str">
        <v>G6</v>
      </c>
      <c r="B18">
        <v>38</v>
      </c>
      <c r="C18">
        <f>'toan11'!G6</f>
      </c>
      <c r="D18">
        <f>IF(ISERROR(C18),LEFT(B18&amp;"",1)="#",IF(ISNUMBER(C18),AND(ISNUMBER(B18),ABS(C18-B18)&lt;=0.000001*MAX(1,ABS(B18))),EXACT(C18&amp;"",B18&amp;"")))</f>
      </c>
      <c r="E18">
        <f>ISERROR(C18)</f>
      </c>
    </row>
    <row r="19">
      <c r="A19" t="str">
        <v>G7</v>
      </c>
      <c r="B19">
        <v>105</v>
      </c>
      <c r="C19">
        <f>'toan11'!G7</f>
      </c>
      <c r="D19">
        <f>IF(ISERROR(C19),LEFT(B19&amp;"",1)="#",IF(ISNUMBER(C19),AND(ISNUMBER(B19),ABS(C19-B19)&lt;=0.000001*MAX(1,ABS(B19))),EXACT(C19&amp;"",B19&amp;"")))</f>
      </c>
      <c r="E19">
        <f>ISERROR(C19)</f>
      </c>
    </row>
    <row r="20">
      <c r="A20" t="str">
        <v>G8</v>
      </c>
      <c r="B20">
        <v>36</v>
      </c>
      <c r="C20">
        <f>'toan11'!G8</f>
      </c>
      <c r="D20">
        <f>IF(ISERROR(C20),LEFT(B20&amp;"",1)="#",IF(ISNUMBER(C20),AND(ISNUMBER(B20),ABS(C20-B20)&lt;=0.000001*MAX(1,ABS(B20))),EXACT(C20&amp;"",B20&amp;"")))</f>
      </c>
      <c r="E20">
        <f>ISERROR(C20)</f>
      </c>
    </row>
    <row r="21">
      <c r="A21" t="str">
        <v>G9</v>
      </c>
      <c r="B21">
        <v>161</v>
      </c>
      <c r="C21">
        <f>'toan11'!G9</f>
      </c>
      <c r="D21">
        <f>IF(ISERROR(C21),LEFT(B21&amp;"",1)="#",IF(ISNUMBER(C21),AND(ISNUMBER(B21),ABS(C21-B21)&lt;=0.000001*MAX(1,ABS(B21))),EXACT(C21&amp;"",B21&amp;"")))</f>
      </c>
      <c r="E21">
        <f>ISERROR(C21)</f>
      </c>
    </row>
    <row r="22">
      <c r="A22" t="str">
        <v>G10</v>
      </c>
      <c r="B22">
        <v>182</v>
      </c>
      <c r="C22">
        <f>'toan11'!G10</f>
      </c>
      <c r="D22">
        <f>IF(ISERROR(C22),LEFT(B22&amp;"",1)="#",IF(ISNUMBER(C22),AND(ISNUMBER(B22),ABS(C22-B22)&lt;=0.000001*MAX(1,ABS(B22))),EXACT(C22&amp;"",B22&amp;"")))</f>
      </c>
      <c r="E22">
        <f>ISERROR(C22)</f>
      </c>
    </row>
    <row r="23">
      <c r="A23" t="str">
        <v>G11</v>
      </c>
      <c r="B23">
        <v>80</v>
      </c>
      <c r="C23">
        <f>'toan11'!G11</f>
      </c>
      <c r="D23">
        <f>IF(ISERROR(C23),LEFT(B23&amp;"",1)="#",IF(ISNUMBER(C23),AND(ISNUMBER(B23),ABS(C23-B23)&lt;=0.000001*MAX(1,ABS(B23))),EXACT(C23&amp;"",B23&amp;"")))</f>
      </c>
      <c r="E23">
        <f>ISERROR(C23)</f>
      </c>
    </row>
    <row r="24">
      <c r="A24" t="str">
        <v>G12</v>
      </c>
      <c r="B24">
        <v>12</v>
      </c>
      <c r="C24">
        <f>'toan11'!G12</f>
      </c>
      <c r="D24">
        <f>IF(ISERROR(C24),LEFT(B24&amp;"",1)="#",IF(ISNUMBER(C24),AND(ISNUMBER(B24),ABS(C24-B24)&lt;=0.000001*MAX(1,ABS(B24))),EXACT(C24&amp;"",B24&amp;"")))</f>
      </c>
      <c r="E24">
        <f>ISERROR(C24)</f>
      </c>
    </row>
    <row r="25">
      <c r="A25" t="str">
        <v>G13</v>
      </c>
      <c r="B25">
        <v>70</v>
      </c>
      <c r="C25">
        <f>'toan11'!G13</f>
      </c>
      <c r="D25">
        <f>IF(ISERROR(C25),LEFT(B25&amp;"",1)="#",IF(ISNUMBER(C25),AND(ISNUMBER(B25),ABS(C25-B25)&lt;=0.000001*MAX(1,ABS(B25))),EXACT(C25&amp;"",B25&amp;"")))</f>
      </c>
      <c r="E25">
        <f>ISERROR(C25)</f>
      </c>
    </row>
    <row r="26">
      <c r="A26" t="str">
        <v>H2</v>
      </c>
      <c r="B26">
        <v>28</v>
      </c>
      <c r="C26">
        <f>'toan11'!H2</f>
      </c>
      <c r="D26">
        <f>IF(ISERROR(C26),LEFT(B26&amp;"",1)="#",IF(ISNUMBER(C26),AND(ISNUMBER(B26),ABS(C26-B26)&lt;=0.000001*MAX(1,ABS(B26))),EXACT(C26&amp;"",B26&amp;"")))</f>
      </c>
      <c r="E26">
        <f>ISERROR(C26)</f>
      </c>
    </row>
    <row r="27">
      <c r="A27" t="str">
        <v>H3</v>
      </c>
      <c r="B27">
        <v>256</v>
      </c>
      <c r="C27">
        <f>'toan11'!H3</f>
      </c>
      <c r="D27">
        <f>IF(ISERROR(C27),LEFT(B27&amp;"",1)="#",IF(ISNUMBER(C27),AND(ISNUMBER(B27),ABS(C27-B27)&lt;=0.000001*MAX(1,ABS(B27))),EXACT(C27&amp;"",B27&amp;"")))</f>
      </c>
      <c r="E27">
        <f>ISERROR(C27)</f>
      </c>
    </row>
    <row r="28">
      <c r="A28" t="str">
        <v>H4</v>
      </c>
      <c r="B28">
        <v>81</v>
      </c>
      <c r="C28">
        <f>'toan11'!H4</f>
      </c>
      <c r="D28">
        <f>IF(ISERROR(C28),LEFT(B28&amp;"",1)="#",IF(ISNUMBER(C28),AND(ISNUMBER(B28),ABS(C28-B28)&lt;=0.000001*MAX(1,ABS(B28))),EXACT(C28&amp;"",B28&amp;"")))</f>
      </c>
      <c r="E28">
        <f>ISERROR(C28)</f>
      </c>
    </row>
    <row r="29">
      <c r="A29" t="str">
        <v>H5</v>
      </c>
      <c r="B29">
        <v>8748</v>
      </c>
      <c r="C29">
        <f>'toan11'!H5</f>
      </c>
      <c r="D29">
        <f>IF(ISERROR(C29),LEFT(B29&amp;"",1)="#",IF(ISNUMBER(C29),AND(ISNUMBER(B29),ABS(C29-B29)&lt;=0.000001*MAX(1,ABS(B29))),EXACT(C29&amp;"",B29&amp;"")))</f>
      </c>
      <c r="E29">
        <f>ISERROR(C29)</f>
      </c>
    </row>
    <row r="30">
      <c r="A30" t="str">
        <v>H6</v>
      </c>
      <c r="B30">
        <v>54</v>
      </c>
      <c r="C30">
        <f>'toan11'!H6</f>
      </c>
      <c r="D30">
        <f>IF(ISERROR(C30),LEFT(B30&amp;"",1)="#",IF(ISNUMBER(C30),AND(ISNUMBER(B30),ABS(C30-B30)&lt;=0.000001*MAX(1,ABS(B30))),EXACT(C30&amp;"",B30&amp;"")))</f>
      </c>
      <c r="E30">
        <f>ISERROR(C30)</f>
      </c>
    </row>
    <row r="31">
      <c r="A31" t="str">
        <v>H7</v>
      </c>
      <c r="B31">
        <v>144</v>
      </c>
      <c r="C31">
        <f>'toan11'!H7</f>
      </c>
      <c r="D31">
        <f>IF(ISERROR(C31),LEFT(B31&amp;"",1)="#",IF(ISNUMBER(C31),AND(ISNUMBER(B31),ABS(C31-B31)&lt;=0.000001*MAX(1,ABS(B31))),EXACT(C31&amp;"",B31&amp;"")))</f>
      </c>
      <c r="E31">
        <f>ISERROR(C31)</f>
      </c>
    </row>
    <row r="32">
      <c r="A32" t="str">
        <v>H8</v>
      </c>
      <c r="B32">
        <v>24</v>
      </c>
      <c r="C32">
        <f>'toan11'!H8</f>
      </c>
      <c r="D32">
        <f>IF(ISERROR(C32),LEFT(B32&amp;"",1)="#",IF(ISNUMBER(C32),AND(ISNUMBER(B32),ABS(C32-B32)&lt;=0.000001*MAX(1,ABS(B32))),EXACT(C32&amp;"",B32&amp;"")))</f>
      </c>
      <c r="E32">
        <f>ISERROR(C32)</f>
      </c>
    </row>
    <row r="33">
      <c r="A33" t="str">
        <v>H9</v>
      </c>
      <c r="B33">
        <v>3645</v>
      </c>
      <c r="C33">
        <f>'toan11'!H9</f>
      </c>
      <c r="D33">
        <f>IF(ISERROR(C33),LEFT(B33&amp;"",1)="#",IF(ISNUMBER(C33),AND(ISNUMBER(B33),ABS(C33-B33)&lt;=0.000001*MAX(1,ABS(B33))),EXACT(C33&amp;"",B33&amp;"")))</f>
      </c>
      <c r="E33">
        <f>ISERROR(C33)</f>
      </c>
    </row>
    <row r="34">
      <c r="A34" t="str">
        <v>H10</v>
      </c>
      <c r="B34">
        <v>5832</v>
      </c>
      <c r="C34">
        <f>'toan11'!H10</f>
      </c>
      <c r="D34">
        <f>IF(ISERROR(C34),LEFT(B34&amp;"",1)="#",IF(ISNUMBER(C34),AND(ISNUMBER(B34),ABS(C34-B34)&lt;=0.000001*MAX(1,ABS(B34))),EXACT(C34&amp;"",B34&amp;"")))</f>
      </c>
      <c r="E34">
        <f>ISERROR(C34)</f>
      </c>
    </row>
    <row r="35">
      <c r="A35" t="str">
        <v>H11</v>
      </c>
      <c r="B35">
        <v>64</v>
      </c>
      <c r="C35">
        <f>'toan11'!H11</f>
      </c>
      <c r="D35">
        <f>IF(ISERROR(C35),LEFT(B35&amp;"",1)="#",IF(ISNUMBER(C35),AND(ISNUMBER(B35),ABS(C35-B35)&lt;=0.000001*MAX(1,ABS(B35))),EXACT(C35&amp;"",B35&amp;"")))</f>
      </c>
      <c r="E35">
        <f>ISERROR(C35)</f>
      </c>
    </row>
    <row r="36">
      <c r="A36" t="str">
        <v>H12</v>
      </c>
      <c r="B36">
        <v>27</v>
      </c>
      <c r="C36">
        <f>'toan11'!H12</f>
      </c>
      <c r="D36">
        <f>IF(ISERROR(C36),LEFT(B36&amp;"",1)="#",IF(ISNUMBER(C36),AND(ISNUMBER(B36),ABS(C36-B36)&lt;=0.000001*MAX(1,ABS(B36))),EXACT(C36&amp;"",B36&amp;"")))</f>
      </c>
      <c r="E36">
        <f>ISERROR(C36)</f>
      </c>
    </row>
    <row r="37">
      <c r="A37" t="str">
        <v>H13</v>
      </c>
      <c r="B37">
        <v>128</v>
      </c>
      <c r="C37">
        <f>'toan11'!H13</f>
      </c>
      <c r="D37">
        <f>IF(ISERROR(C37),LEFT(B37&amp;"",1)="#",IF(ISNUMBER(C37),AND(ISNUMBER(B37),ABS(C37-B37)&lt;=0.000001*MAX(1,ABS(B37))),EXACT(C37&amp;"",B37&amp;"")))</f>
      </c>
      <c r="E37">
        <f>ISERROR(C37)</f>
      </c>
    </row>
    <row r="38">
      <c r="A38" t="str">
        <v>I2</v>
      </c>
      <c r="B38">
        <v>49</v>
      </c>
      <c r="C38">
        <f>'toan11'!I2</f>
      </c>
      <c r="D38">
        <f>IF(ISERROR(C38),LEFT(B38&amp;"",1)="#",IF(ISNUMBER(C38),AND(ISNUMBER(B38),ABS(C38-B38)&lt;=0.000001*MAX(1,ABS(B38))),EXACT(C38&amp;"",B38&amp;"")))</f>
      </c>
      <c r="E38">
        <f>ISERROR(C38)</f>
      </c>
    </row>
    <row r="39">
      <c r="A39" t="str">
        <v>I3</v>
      </c>
      <c r="B39">
        <v>510</v>
      </c>
      <c r="C39">
        <f>'toan11'!I3</f>
      </c>
      <c r="D39">
        <f>IF(ISERROR(C39),LEFT(B39&amp;"",1)="#",IF(ISNUMBER(C39),AND(ISNUMBER(B39),ABS(C39-B39)&lt;=0.000001*MAX(1,ABS(B39))),EXACT(C39&amp;"",B39&amp;"")))</f>
      </c>
      <c r="E39">
        <f>ISERROR(C39)</f>
      </c>
    </row>
    <row r="40">
      <c r="A40" t="str">
        <v>I4</v>
      </c>
      <c r="B40">
        <v>120</v>
      </c>
      <c r="C40">
        <f>'toan11'!I4</f>
      </c>
      <c r="D40">
        <f>IF(ISERROR(C40),LEFT(B40&amp;"",1)="#",IF(ISNUMBER(C40),AND(ISNUMBER(B40),ABS(C40-B40)&lt;=0.000001*MAX(1,ABS(B40))),EXACT(C40&amp;"",B40&amp;"")))</f>
      </c>
      <c r="E40">
        <f>ISERROR(C40)</f>
      </c>
    </row>
    <row r="41">
      <c r="A41" t="str">
        <v>I5</v>
      </c>
      <c r="B41">
        <v>13120</v>
      </c>
      <c r="C41">
        <f>'toan11'!I5</f>
      </c>
      <c r="D41">
        <f>IF(ISERROR(C41),LEFT(B41&amp;"",1)="#",IF(ISNUMBER(C41),AND(ISNUMBER(B41),ABS(C41-B41)&lt;=0.000001*MAX(1,ABS(B41))),EXACT(C41&amp;"",B41&amp;"")))</f>
      </c>
      <c r="E41">
        <f>ISERROR(C41)</f>
      </c>
    </row>
    <row r="42">
      <c r="A42" t="str">
        <v>I6</v>
      </c>
      <c r="B42">
        <v>80</v>
      </c>
      <c r="C42">
        <f>'toan11'!I6</f>
      </c>
      <c r="D42">
        <f>IF(ISERROR(C42),LEFT(B42&amp;"",1)="#",IF(ISNUMBER(C42),AND(ISNUMBER(B42),ABS(C42-B42)&lt;=0.000001*MAX(1,ABS(B42))),EXACT(C42&amp;"",B42&amp;"")))</f>
      </c>
      <c r="E42">
        <f>ISERROR(C42)</f>
      </c>
    </row>
    <row r="43">
      <c r="A43" t="str">
        <v>I7</v>
      </c>
      <c r="B43">
        <v>279</v>
      </c>
      <c r="C43">
        <f>'toan11'!I7</f>
      </c>
      <c r="D43">
        <f>IF(ISERROR(C43),LEFT(B43&amp;"",1)="#",IF(ISNUMBER(C43),AND(ISNUMBER(B43),ABS(C43-B43)&lt;=0.000001*MAX(1,ABS(B43))),EXACT(C43&amp;"",B43&amp;"")))</f>
      </c>
      <c r="E43">
        <f>ISERROR(C43)</f>
      </c>
    </row>
    <row r="44">
      <c r="A44" t="str">
        <v>I8</v>
      </c>
      <c r="B44">
        <v>45</v>
      </c>
      <c r="C44">
        <f>'toan11'!I8</f>
      </c>
      <c r="D44">
        <f>IF(ISERROR(C44),LEFT(B44&amp;"",1)="#",IF(ISNUMBER(C44),AND(ISNUMBER(B44),ABS(C44-B44)&lt;=0.000001*MAX(1,ABS(B44))),EXACT(C44&amp;"",B44&amp;"")))</f>
      </c>
      <c r="E44">
        <f>ISERROR(C44)</f>
      </c>
    </row>
    <row r="45">
      <c r="A45" t="str">
        <v>I9</v>
      </c>
      <c r="B45">
        <v>5465</v>
      </c>
      <c r="C45">
        <f>'toan11'!I9</f>
      </c>
      <c r="D45">
        <f>IF(ISERROR(C45),LEFT(B45&amp;"",1)="#",IF(ISNUMBER(C45),AND(ISNUMBER(B45),ABS(C45-B45)&lt;=0.000001*MAX(1,ABS(B45))),EXACT(C45&amp;"",B45&amp;"")))</f>
      </c>
      <c r="E45">
        <f>ISERROR(C45)</f>
      </c>
    </row>
    <row r="46">
      <c r="A46" t="str">
        <v>I10</v>
      </c>
      <c r="B46">
        <v>8744</v>
      </c>
      <c r="C46">
        <f>'toan11'!I10</f>
      </c>
      <c r="D46">
        <f>IF(ISERROR(C46),LEFT(B46&amp;"",1)="#",IF(ISNUMBER(C46),AND(ISNUMBER(B46),ABS(C46-B46)&lt;=0.000001*MAX(1,ABS(B46))),EXACT(C46&amp;"",B46&amp;"")))</f>
      </c>
      <c r="E46">
        <f>ISERROR(C46)</f>
      </c>
    </row>
    <row r="47">
      <c r="A47" t="str">
        <v>I11</v>
      </c>
      <c r="B47">
        <v>124</v>
      </c>
      <c r="C47">
        <f>'toan11'!I11</f>
      </c>
      <c r="D47">
        <f>IF(ISERROR(C47),LEFT(B47&amp;"",1)="#",IF(ISNUMBER(C47),AND(ISNUMBER(B47),ABS(C47-B47)&lt;=0.000001*MAX(1,ABS(B47))),EXACT(C47&amp;"",B47&amp;"")))</f>
      </c>
      <c r="E47">
        <f>ISERROR(C47)</f>
      </c>
    </row>
    <row r="48">
      <c r="A48" t="str">
        <v>I12</v>
      </c>
      <c r="B48">
        <v>39</v>
      </c>
      <c r="C48">
        <f>'toan11'!I12</f>
      </c>
      <c r="D48">
        <f>IF(ISERROR(C48),LEFT(B48&amp;"",1)="#",IF(ISNUMBER(C48),AND(ISNUMBER(B48),ABS(C48-B48)&lt;=0.000001*MAX(1,ABS(B48))),EXACT(C48&amp;"",B48&amp;"")))</f>
      </c>
      <c r="E48">
        <f>ISERROR(C48)</f>
      </c>
    </row>
    <row r="49">
      <c r="A49" t="str">
        <v>I13</v>
      </c>
      <c r="B49">
        <v>248</v>
      </c>
      <c r="C49">
        <f>'toan11'!I13</f>
      </c>
      <c r="D49">
        <f>IF(ISERROR(C49),LEFT(B49&amp;"",1)="#",IF(ISNUMBER(C49),AND(ISNUMBER(B49),ABS(C49-B49)&lt;=0.000001*MAX(1,ABS(B49))),EXACT(C49&amp;"",B49&amp;"")))</f>
      </c>
      <c r="E49">
        <f>ISERROR(C49)</f>
      </c>
    </row>
    <row r="50">
      <c r="A50" t="str">
        <v>J2</v>
      </c>
      <c r="B50" t="str">
        <v>CSN LON HON</v>
      </c>
      <c r="C50">
        <f>'toan11'!J2</f>
      </c>
      <c r="D50">
        <f>IF(ISERROR(C50),LEFT(B50&amp;"",1)="#",IF(ISNUMBER(C50),AND(ISNUMBER(B50),ABS(C50-B50)&lt;=0.000001*MAX(1,ABS(B50))),EXACT(C50&amp;"",B50&amp;"")))</f>
      </c>
      <c r="E50">
        <f>ISERROR(C50)</f>
      </c>
    </row>
    <row r="51">
      <c r="A51" t="str">
        <v>J3</v>
      </c>
      <c r="B51" t="str">
        <v>CSN LON HON</v>
      </c>
      <c r="C51">
        <f>'toan11'!J3</f>
      </c>
      <c r="D51">
        <f>IF(ISERROR(C51),LEFT(B51&amp;"",1)="#",IF(ISNUMBER(C51),AND(ISNUMBER(B51),ABS(C51-B51)&lt;=0.000001*MAX(1,ABS(B51))),EXACT(C51&amp;"",B51&amp;"")))</f>
      </c>
      <c r="E51">
        <f>ISERROR(C51)</f>
      </c>
    </row>
    <row r="52">
      <c r="A52" t="str">
        <v>J4</v>
      </c>
      <c r="B52" t="str">
        <v>CSN LON HON</v>
      </c>
      <c r="C52">
        <f>'toan11'!J4</f>
      </c>
      <c r="D52">
        <f>IF(ISERROR(C52),LEFT(B52&amp;"",1)="#",IF(ISNUMBER(C52),AND(ISNUMBER(B52),ABS(C52-B52)&lt;=0.000001*MAX(1,ABS(B52))),EXACT(C52&amp;"",B52&amp;"")))</f>
      </c>
      <c r="E52">
        <f>ISERROR(C52)</f>
      </c>
    </row>
    <row r="53">
      <c r="A53" t="str">
        <v>J5</v>
      </c>
      <c r="B53" t="str">
        <v>CSN LON HON</v>
      </c>
      <c r="C53">
        <f>'toan11'!J5</f>
      </c>
      <c r="D53">
        <f>IF(ISERROR(C53),LEFT(B53&amp;"",1)="#",IF(ISNUMBER(C53),AND(ISNUMBER(B53),ABS(C53-B53)&lt;=0.000001*MAX(1,ABS(B53))),EXACT(C53&amp;"",B53&amp;"")))</f>
      </c>
      <c r="E53">
        <f>ISERROR(C53)</f>
      </c>
    </row>
    <row r="54">
      <c r="A54" t="str">
        <v>J6</v>
      </c>
      <c r="B54" t="str">
        <v>CSN LON HON</v>
      </c>
      <c r="C54">
        <f>'toan11'!J6</f>
      </c>
      <c r="D54">
        <f>IF(ISERROR(C54),LEFT(B54&amp;"",1)="#",IF(ISNUMBER(C54),AND(ISNUMBER(B54),ABS(C54-B54)&lt;=0.000001*MAX(1,ABS(B54))),EXACT(C54&amp;"",B54&amp;"")))</f>
      </c>
      <c r="E54">
        <f>ISERROR(C54)</f>
      </c>
    </row>
    <row r="55">
      <c r="A55" t="str">
        <v>J7</v>
      </c>
      <c r="B55" t="str">
        <v>CSN LON HON</v>
      </c>
      <c r="C55">
        <f>'toan11'!J7</f>
      </c>
      <c r="D55">
        <f>IF(ISERROR(C55),LEFT(B55&amp;"",1)="#",IF(ISNUMBER(C55),AND(ISNUMBER(B55),ABS(C55-B55)&lt;=0.000001*MAX(1,ABS(B55))),EXACT(C55&amp;"",B55&amp;"")))</f>
      </c>
      <c r="E55">
        <f>ISERROR(C55)</f>
      </c>
    </row>
    <row r="56">
      <c r="A56" t="str">
        <v>J8</v>
      </c>
      <c r="B56" t="str">
        <v>CSN LON HON</v>
      </c>
      <c r="C56">
        <f>'toan11'!J8</f>
      </c>
      <c r="D56">
        <f>IF(ISERROR(C56),LEFT(B56&amp;"",1)="#",IF(ISNUMBER(C56),AND(ISNUMBER(B56),ABS(C56-B56)&lt;=0.000001*MAX(1,ABS(B56))),EXACT(C56&amp;"",B56&amp;"")))</f>
      </c>
      <c r="E56">
        <f>ISERROR(C56)</f>
      </c>
    </row>
    <row r="57">
      <c r="A57" t="str">
        <v>J9</v>
      </c>
      <c r="B57" t="str">
        <v>CSN LON HON</v>
      </c>
      <c r="C57">
        <f>'toan11'!J9</f>
      </c>
      <c r="D57">
        <f>IF(ISERROR(C57),LEFT(B57&amp;"",1)="#",IF(ISNUMBER(C57),AND(ISNUMBER(B57),ABS(C57-B57)&lt;=0.000001*MAX(1,ABS(B57))),EXACT(C57&amp;"",B57&amp;"")))</f>
      </c>
      <c r="E57">
        <f>ISERROR(C57)</f>
      </c>
    </row>
    <row r="58">
      <c r="A58" t="str">
        <v>J10</v>
      </c>
      <c r="B58" t="str">
        <v>CSN LON HON</v>
      </c>
      <c r="C58">
        <f>'toan11'!J10</f>
      </c>
      <c r="D58">
        <f>IF(ISERROR(C58),LEFT(B58&amp;"",1)="#",IF(ISNUMBER(C58),AND(ISNUMBER(B58),ABS(C58-B58)&lt;=0.000001*MAX(1,ABS(B58))),EXACT(C58&amp;"",B58&amp;"")))</f>
      </c>
      <c r="E58">
        <f>ISERROR(C58)</f>
      </c>
    </row>
    <row r="59">
      <c r="A59" t="str">
        <v>J11</v>
      </c>
      <c r="B59" t="str">
        <v>CSN LON HON</v>
      </c>
      <c r="C59">
        <f>'toan11'!J11</f>
      </c>
      <c r="D59">
        <f>IF(ISERROR(C59),LEFT(B59&amp;"",1)="#",IF(ISNUMBER(C59),AND(ISNUMBER(B59),ABS(C59-B59)&lt;=0.000001*MAX(1,ABS(B59))),EXACT(C59&amp;"",B59&amp;"")))</f>
      </c>
      <c r="E59">
        <f>ISERROR(C59)</f>
      </c>
    </row>
    <row r="60">
      <c r="A60" t="str">
        <v>J12</v>
      </c>
      <c r="B60" t="str">
        <v>CSN LON HON</v>
      </c>
      <c r="C60">
        <f>'toan11'!J12</f>
      </c>
      <c r="D60">
        <f>IF(ISERROR(C60),LEFT(B60&amp;"",1)="#",IF(ISNUMBER(C60),AND(ISNUMBER(B60),ABS(C60-B60)&lt;=0.000001*MAX(1,ABS(B60))),EXACT(C60&amp;"",B60&amp;"")))</f>
      </c>
      <c r="E60">
        <f>ISERROR(C60)</f>
      </c>
    </row>
    <row r="61">
      <c r="A61" t="str">
        <v>J13</v>
      </c>
      <c r="B61" t="str">
        <v>CSN LON HON</v>
      </c>
      <c r="C61">
        <f>'toan11'!J13</f>
      </c>
      <c r="D61">
        <f>IF(ISERROR(C61),LEFT(B61&amp;"",1)="#",IF(ISNUMBER(C61),AND(ISNUMBER(B61),ABS(C61-B61)&lt;=0.000001*MAX(1,ABS(B61))),EXACT(C61&amp;"",B61&amp;"")))</f>
      </c>
      <c r="E61">
        <f>ISERROR(C61)</f>
      </c>
    </row>
    <row r="62">
      <c r="A62" t="str">
        <v>Z2</v>
      </c>
      <c r="B62" t="str">
        <v>D04</v>
      </c>
      <c r="C62">
        <f>'toan11'!Z2</f>
      </c>
      <c r="D62">
        <f>IF(ISERROR(C62),LEFT(B62&amp;"",1)="#",IF(ISNUMBER(C62),AND(ISNUMBER(B62),ABS(C62-B62)&lt;=0.000001*MAX(1,ABS(B62))),EXACT(C62&amp;"",B62&amp;"")))</f>
      </c>
      <c r="E62">
        <f>ISERROR(C62)</f>
      </c>
    </row>
    <row r="63">
      <c r="A63" t="str">
        <v>Z3</v>
      </c>
      <c r="B63">
        <v>28823</v>
      </c>
      <c r="C63">
        <f>'toan11'!Z3</f>
      </c>
      <c r="D63">
        <f>IF(ISERROR(C63),LEFT(B63&amp;"",1)="#",IF(ISNUMBER(C63),AND(ISNUMBER(B63),ABS(C63-B63)&lt;=0.000001*MAX(1,ABS(B63))),EXACT(C63&amp;"",B63&amp;"")))</f>
      </c>
      <c r="E63">
        <f>ISERROR(C63)</f>
      </c>
    </row>
    <row r="64">
      <c r="A64" t="str">
        <v>Z4</v>
      </c>
      <c r="B64">
        <v>7</v>
      </c>
      <c r="C64">
        <f>'toan11'!Z4</f>
      </c>
      <c r="D64">
        <f>IF(ISERROR(C64),LEFT(B64&amp;"",1)="#",IF(ISNUMBER(C64),AND(ISNUMBER(B64),ABS(C64-B64)&lt;=0.000001*MAX(1,ABS(B64))),EXACT(C64&amp;"",B64&amp;"")))</f>
      </c>
      <c r="E64">
        <f>ISERROR(C64)</f>
      </c>
    </row>
    <row r="65">
      <c r="A65" t="str">
        <v>Z5</v>
      </c>
      <c r="B65">
        <v>95</v>
      </c>
      <c r="C65">
        <f>'toan11'!Z5</f>
      </c>
      <c r="D65">
        <f>IF(ISERROR(C65),LEFT(B65&amp;"",1)="#",IF(ISNUMBER(C65),AND(ISNUMBER(B65),ABS(C65-B65)&lt;=0.000001*MAX(1,ABS(B65))),EXACT(C65&amp;"",B65&amp;"")))</f>
      </c>
      <c r="E65">
        <f>ISERROR(C65)</f>
      </c>
    </row>
    <row r="66">
      <c r="A66" t="str">
        <v>Z6</v>
      </c>
      <c r="B66">
        <v>8748</v>
      </c>
      <c r="C66">
        <f>'toan11'!Z6</f>
      </c>
      <c r="D66">
        <f>IF(ISERROR(C66),LEFT(B66&amp;"",1)="#",IF(ISNUMBER(C66),AND(ISNUMBER(B66),ABS(C66-B66)&lt;=0.000001*MAX(1,ABS(B66))),EXACT(C66&amp;"",B66&amp;"")))</f>
      </c>
      <c r="E66">
        <f>ISERROR(C66)</f>
      </c>
    </row>
    <row r="67">
      <c r="A67" t="str">
        <v>Z7</v>
      </c>
      <c r="B67">
        <v>24</v>
      </c>
      <c r="C67">
        <f>'toan11'!Z7</f>
      </c>
      <c r="D67">
        <f>IF(ISERROR(C67),LEFT(B67&amp;"",1)="#",IF(ISNUMBER(C67),AND(ISNUMBER(B67),ABS(C67-B67)&lt;=0.000001*MAX(1,ABS(B67))),EXACT(C67&amp;"",B67&amp;"")))</f>
      </c>
      <c r="E67">
        <f>ISERROR(C67)</f>
      </c>
    </row>
    <row r="68">
      <c r="A68" t="str">
        <v>Z8</v>
      </c>
      <c r="B68">
        <v>44</v>
      </c>
      <c r="C68">
        <f>'toan11'!Z8</f>
      </c>
      <c r="D68">
        <f>IF(ISERROR(C68),LEFT(B68&amp;"",1)="#",IF(ISNUMBER(C68),AND(ISNUMBER(B68),ABS(C68-B68)&lt;=0.000001*MAX(1,ABS(B68))),EXACT(C68&amp;"",B68&amp;"")))</f>
      </c>
      <c r="E68">
        <f>ISERROR(C68)</f>
      </c>
    </row>
    <row r="69">
      <c r="A69" t="str">
        <v>Z9</v>
      </c>
      <c r="B69">
        <v>14.23</v>
      </c>
      <c r="C69">
        <f>'toan11'!Z9</f>
      </c>
      <c r="D69">
        <f>IF(ISERROR(C69),LEFT(B69&amp;"",1)="#",IF(ISNUMBER(C69),AND(ISNUMBER(B69),ABS(C69-B69)&lt;=0.000001*MAX(1,ABS(B69))),EXACT(C69&amp;"",B69&amp;"")))</f>
      </c>
      <c r="E69">
        <f>ISERROR(C69)</f>
      </c>
    </row>
    <row r="70">
      <c r="A70" t="str">
        <v>Z10</v>
      </c>
      <c r="B70">
        <v>28823</v>
      </c>
      <c r="C70">
        <f>'toan11'!Z10</f>
      </c>
      <c r="D70">
        <f>IF(ISERROR(C70),LEFT(B70&amp;"",1)="#",IF(ISNUMBER(C70),AND(ISNUMBER(B70),ABS(C70-B70)&lt;=0.000001*MAX(1,ABS(B70))),EXACT(C70&amp;"",B70&amp;"")))</f>
      </c>
      <c r="E70">
        <f>ISERROR(C70)</f>
      </c>
    </row>
    <row r="71">
      <c r="A71" t="str">
        <v>Z11</v>
      </c>
      <c r="B71">
        <v>12</v>
      </c>
      <c r="C71">
        <f>'toan11'!Z11</f>
      </c>
      <c r="D71">
        <f>IF(ISERROR(C71),LEFT(B71&amp;"",1)="#",IF(ISNUMBER(C71),AND(ISNUMBER(B71),ABS(C71-B71)&lt;=0.000001*MAX(1,ABS(B71))),EXACT(C71&amp;"",B71&amp;"")))</f>
      </c>
      <c r="E71">
        <f>ISERROR(C71)</f>
      </c>
    </row>
    <row r="72">
      <c r="A72" t="str">
        <v>Z12</v>
      </c>
      <c r="B72">
        <v>28823</v>
      </c>
      <c r="C72">
        <f>'toan11'!Z12</f>
      </c>
      <c r="D72">
        <f>IF(ISERROR(C72),LEFT(B72&amp;"",1)="#",IF(ISNUMBER(C72),AND(ISNUMBER(B72),ABS(C72-B72)&lt;=0.000001*MAX(1,ABS(B72))),EXACT(C72&amp;"",B72&amp;"")))</f>
      </c>
      <c r="E72">
        <f>ISERROR(C72)</f>
      </c>
    </row>
    <row r="73">
      <c r="A73" t="str">
        <v>Z13</v>
      </c>
      <c r="B73">
        <v>306</v>
      </c>
      <c r="C73">
        <f>'toan11'!Z13</f>
      </c>
      <c r="D73">
        <f>IF(ISERROR(C73),LEFT(B73&amp;"",1)="#",IF(ISNUMBER(C73),AND(ISNUMBER(B73),ABS(C73-B73)&lt;=0.000001*MAX(1,ABS(B73))),EXACT(C73&amp;"",B73&amp;"")))</f>
      </c>
      <c r="E73">
        <f>ISERROR(C73)</f>
      </c>
    </row>
  </sheetData>
  <ignoredErrors>
    <ignoredError numberStoredAsText="1" sqref="A1:E73"/>
  </ignoredErrors>
</worksheet>
</file>

<file path=xl/worksheets/sheet4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MaBai</v>
      </c>
      <c r="B1" t="str">
        <v>Tong</v>
      </c>
      <c r="C1" t="str">
        <v>SoNam</v>
      </c>
      <c r="D1" t="str">
        <v>ChonK</v>
      </c>
      <c r="E1" t="str">
        <v>ChonNam</v>
      </c>
      <c r="F1" t="str">
        <v>HoanVi</v>
      </c>
      <c r="G1" t="str">
        <v>ChinhHop</v>
      </c>
      <c r="H1" t="str">
        <v>ToHop</v>
      </c>
      <c r="I1" t="str">
        <v>XacSuat</v>
      </c>
      <c r="J1" t="str">
        <v>DuKien</v>
      </c>
      <c r="W1" t="str">
        <v>DuKien</v>
      </c>
      <c r="Y1" t="str">
        <v>TongHop</v>
      </c>
      <c r="Z1" t="str">
        <v>KetQua</v>
      </c>
    </row>
    <row r="2">
      <c r="A2" t="str">
        <v>B01</v>
      </c>
      <c r="B2">
        <v>9</v>
      </c>
      <c r="C2">
        <v>4</v>
      </c>
      <c r="D2">
        <v>3</v>
      </c>
      <c r="E2">
        <v>0</v>
      </c>
      <c r="F2">
        <f>FACT(B2)</f>
        <v>362880</v>
      </c>
      <c r="G2">
        <f>PERMUT(B2,D2)</f>
        <v>504</v>
      </c>
      <c r="H2">
        <f>COMBIN(B2,D2)</f>
        <v>84</v>
      </c>
      <c r="I2">
        <f>ROUND(COMBIN(C2,E2)*COMBIN(B2-C2,D2-E2)/COMBIN(B2,D2),4)</f>
        <v>0.119</v>
      </c>
      <c r="J2" t="str">
        <f>IF(I2&gt;=0.5,"KHA NANG CAO","KHA NANG THAP")</f>
        <v>KHA NANG THAP</v>
      </c>
      <c r="W2" t="str">
        <v>KHA NANG CAO</v>
      </c>
      <c r="Y2" t="str">
        <v>Ma MaBai co XacSuat lon nhat</v>
      </c>
      <c r="Z2" t="str">
        <f>INDEX(A2:A13,MATCH(MAX(I2:I13),I2:I13,0))</f>
        <v>B12</v>
      </c>
    </row>
    <row r="3">
      <c r="A3" t="str">
        <v>B02</v>
      </c>
      <c r="B3">
        <v>6</v>
      </c>
      <c r="C3">
        <v>4</v>
      </c>
      <c r="D3">
        <v>2</v>
      </c>
      <c r="E3">
        <v>2</v>
      </c>
      <c r="F3">
        <f>FACT(B3)</f>
        <v>720</v>
      </c>
      <c r="G3">
        <f>PERMUT(B3,D3)</f>
        <v>30</v>
      </c>
      <c r="H3">
        <f>COMBIN(B3,D3)</f>
        <v>15</v>
      </c>
      <c r="I3">
        <f>ROUND(COMBIN(C3,E3)*COMBIN(B3-C3,D3-E3)/COMBIN(B3,D3),4)</f>
        <v>0.4</v>
      </c>
      <c r="J3" t="str">
        <f>IF(I3&gt;=0.5,"KHA NANG CAO","KHA NANG THAP")</f>
        <v>KHA NANG THAP</v>
      </c>
      <c r="Y3" t="str">
        <v>Tong ToHop khi DuKien = KHA NANG CAO</v>
      </c>
      <c r="Z3">
        <f>SUMIF(J2:J13,"KHA NANG CAO",H2:H13)</f>
        <v>120</v>
      </c>
    </row>
    <row r="4">
      <c r="A4" t="str">
        <v>B03</v>
      </c>
      <c r="B4">
        <v>7</v>
      </c>
      <c r="C4">
        <v>4</v>
      </c>
      <c r="D4">
        <v>3</v>
      </c>
      <c r="E4">
        <v>1</v>
      </c>
      <c r="F4">
        <f>FACT(B4)</f>
        <v>5040</v>
      </c>
      <c r="G4">
        <f>PERMUT(B4,D4)</f>
        <v>210</v>
      </c>
      <c r="H4">
        <f>COMBIN(B4,D4)</f>
        <v>35</v>
      </c>
      <c r="I4">
        <f>ROUND(COMBIN(C4,E4)*COMBIN(B4-C4,D4-E4)/COMBIN(B4,D4),4)</f>
        <v>0.3429</v>
      </c>
      <c r="J4" t="str">
        <f>IF(I4&gt;=0.5,"KHA NANG CAO","KHA NANG THAP")</f>
        <v>KHA NANG THAP</v>
      </c>
      <c r="Y4" t="str">
        <v>So dong DuKien = KHA NANG THAP, ChonK &gt;=3</v>
      </c>
      <c r="Z4">
        <f>COUNTIFS(J2:J13,"KHA NANG THAP",D2:D13,"&gt;=3")</f>
        <v>7</v>
      </c>
    </row>
    <row r="5">
      <c r="A5" t="str">
        <v>B04</v>
      </c>
      <c r="B5">
        <v>7</v>
      </c>
      <c r="C5">
        <v>5</v>
      </c>
      <c r="D5">
        <v>4</v>
      </c>
      <c r="E5">
        <v>4</v>
      </c>
      <c r="F5">
        <f>FACT(B5)</f>
        <v>5040</v>
      </c>
      <c r="G5">
        <f>PERMUT(B5,D5)</f>
        <v>840</v>
      </c>
      <c r="H5">
        <f>COMBIN(B5,D5)</f>
        <v>35</v>
      </c>
      <c r="I5">
        <f>ROUND(COMBIN(C5,E5)*COMBIN(B5-C5,D5-E5)/COMBIN(B5,D5),4)</f>
        <v>0.1429</v>
      </c>
      <c r="J5" t="str">
        <f>IF(I5&gt;=0.5,"KHA NANG CAO","KHA NANG THAP")</f>
        <v>KHA NANG THAP</v>
      </c>
      <c r="Y5" t="str">
        <v>XacSuat trung binh khi DuKien = KHA NANG THAP</v>
      </c>
      <c r="Z5">
        <f>AVERAGEIF(J2:J13,"KHA NANG THAP",I2:I13)</f>
        <v>0.27735454545454546</v>
      </c>
    </row>
    <row r="6">
      <c r="A6" t="str">
        <v>B05</v>
      </c>
      <c r="B6">
        <v>7</v>
      </c>
      <c r="C6">
        <v>5</v>
      </c>
      <c r="D6">
        <v>4</v>
      </c>
      <c r="E6">
        <v>2</v>
      </c>
      <c r="F6">
        <f>FACT(B6)</f>
        <v>5040</v>
      </c>
      <c r="G6">
        <f>PERMUT(B6,D6)</f>
        <v>840</v>
      </c>
      <c r="H6">
        <f>COMBIN(B6,D6)</f>
        <v>35</v>
      </c>
      <c r="I6">
        <f>ROUND(COMBIN(C6,E6)*COMBIN(B6-C6,D6-E6)/COMBIN(B6,D6),4)</f>
        <v>0.2857</v>
      </c>
      <c r="J6" t="str">
        <f>IF(I6&gt;=0.5,"KHA NANG CAO","KHA NANG THAP")</f>
        <v>KHA NANG THAP</v>
      </c>
      <c r="Y6" t="str">
        <v>ChinhHop lon nhat khi DuKien = KHA NANG CAO</v>
      </c>
      <c r="Z6">
        <f>_xlfn.MAXIFS(G2:G13,J2:J13,"KHA NANG CAO")</f>
        <v>720</v>
      </c>
    </row>
    <row r="7">
      <c r="A7" t="str">
        <v>B06</v>
      </c>
      <c r="B7">
        <v>10</v>
      </c>
      <c r="C7">
        <v>8</v>
      </c>
      <c r="D7">
        <v>2</v>
      </c>
      <c r="E7">
        <v>1</v>
      </c>
      <c r="F7">
        <f>FACT(B7)</f>
        <v>3628800</v>
      </c>
      <c r="G7">
        <f>PERMUT(B7,D7)</f>
        <v>90</v>
      </c>
      <c r="H7">
        <f>COMBIN(B7,D7)</f>
        <v>45</v>
      </c>
      <c r="I7">
        <f>ROUND(COMBIN(C7,E7)*COMBIN(B7-C7,D7-E7)/COMBIN(B7,D7),4)</f>
        <v>0.3556</v>
      </c>
      <c r="J7" t="str">
        <f>IF(I7&gt;=0.5,"KHA NANG CAO","KHA NANG THAP")</f>
        <v>KHA NANG THAP</v>
      </c>
      <c r="Y7" t="str">
        <v>XacSuat trung vi</v>
      </c>
      <c r="Z7">
        <f>MEDIAN(I2:I13)</f>
        <v>0.3095</v>
      </c>
    </row>
    <row r="8">
      <c r="A8" t="str">
        <v>B07</v>
      </c>
      <c r="B8">
        <v>7</v>
      </c>
      <c r="C8">
        <v>4</v>
      </c>
      <c r="D8">
        <v>2</v>
      </c>
      <c r="E8">
        <v>0</v>
      </c>
      <c r="F8">
        <f>FACT(B8)</f>
        <v>5040</v>
      </c>
      <c r="G8">
        <f>PERMUT(B8,D8)</f>
        <v>42</v>
      </c>
      <c r="H8">
        <f>COMBIN(B8,D8)</f>
        <v>21</v>
      </c>
      <c r="I8">
        <f>ROUND(COMBIN(C8,E8)*COMBIN(B8-C8,D8-E8)/COMBIN(B8,D8),4)</f>
        <v>0.1429</v>
      </c>
      <c r="J8" t="str">
        <f>IF(I8&gt;=0.5,"KHA NANG CAO","KHA NANG THAP")</f>
        <v>KHA NANG THAP</v>
      </c>
      <c r="Y8" t="str">
        <v>XacSuat lon thu hai</v>
      </c>
      <c r="Z8">
        <f>LARGE(I2:I13,2)</f>
        <v>0.4286</v>
      </c>
    </row>
    <row r="9">
      <c r="A9" t="str">
        <v>B08</v>
      </c>
      <c r="B9">
        <v>8</v>
      </c>
      <c r="C9">
        <v>6</v>
      </c>
      <c r="D9">
        <v>4</v>
      </c>
      <c r="E9">
        <v>4</v>
      </c>
      <c r="F9">
        <f>FACT(B9)</f>
        <v>40320</v>
      </c>
      <c r="G9">
        <f>PERMUT(B9,D9)</f>
        <v>1680</v>
      </c>
      <c r="H9">
        <f>COMBIN(B9,D9)</f>
        <v>70</v>
      </c>
      <c r="I9">
        <f>ROUND(COMBIN(C9,E9)*COMBIN(B9-C9,D9-E9)/COMBIN(B9,D9),4)</f>
        <v>0.2143</v>
      </c>
      <c r="J9" t="str">
        <f>IF(I9&gt;=0.5,"KHA NANG CAO","KHA NANG THAP")</f>
        <v>KHA NANG THAP</v>
      </c>
      <c r="Y9" t="str">
        <v>Do lech chuan ToHop</v>
      </c>
      <c r="Z9">
        <f>ROUND(STDEV(H2:H13),1)</f>
        <v>55.6</v>
      </c>
    </row>
    <row r="10">
      <c r="A10" t="str">
        <v>B09</v>
      </c>
      <c r="B10">
        <v>10</v>
      </c>
      <c r="C10">
        <v>8</v>
      </c>
      <c r="D10">
        <v>4</v>
      </c>
      <c r="E10">
        <v>4</v>
      </c>
      <c r="F10">
        <f>FACT(B10)</f>
        <v>3628800</v>
      </c>
      <c r="G10">
        <f>PERMUT(B10,D10)</f>
        <v>5040</v>
      </c>
      <c r="H10">
        <f>COMBIN(B10,D10)</f>
        <v>210</v>
      </c>
      <c r="I10">
        <f>ROUND(COMBIN(C10,E10)*COMBIN(B10-C10,D10-E10)/COMBIN(B10,D10),4)</f>
        <v>0.3333</v>
      </c>
      <c r="J10" t="str">
        <f>IF(I10&gt;=0.5,"KHA NANG CAO","KHA NANG THAP")</f>
        <v>KHA NANG THAP</v>
      </c>
      <c r="Y10" t="str">
        <v>Tong ToHop theo tieu chi W1:W2</v>
      </c>
      <c r="Z10">
        <f>DSUM(A1:J13,"ToHop",W1:W2)</f>
        <v>120</v>
      </c>
    </row>
    <row r="11">
      <c r="A11" t="str">
        <v>B10</v>
      </c>
      <c r="B11">
        <v>8</v>
      </c>
      <c r="C11">
        <v>6</v>
      </c>
      <c r="D11">
        <v>2</v>
      </c>
      <c r="E11">
        <v>1</v>
      </c>
      <c r="F11">
        <f>FACT(B11)</f>
        <v>40320</v>
      </c>
      <c r="G11">
        <f>PERMUT(B11,D11)</f>
        <v>56</v>
      </c>
      <c r="H11">
        <f>COMBIN(B11,D11)</f>
        <v>28</v>
      </c>
      <c r="I11">
        <f>ROUND(COMBIN(C11,E11)*COMBIN(B11-C11,D11-E11)/COMBIN(B11,D11),4)</f>
        <v>0.4286</v>
      </c>
      <c r="J11" t="str">
        <f>IF(I11&gt;=0.5,"KHA NANG CAO","KHA NANG THAP")</f>
        <v>KHA NANG THAP</v>
      </c>
      <c r="Y11" t="str">
        <v>So dong theo tieu chi W1:W2</v>
      </c>
      <c r="Z11">
        <f>DCOUNT(A1:J13,"ToHop",W1:W2)</f>
        <v>1</v>
      </c>
    </row>
    <row r="12">
      <c r="A12" t="str">
        <v>B11</v>
      </c>
      <c r="B12">
        <v>7</v>
      </c>
      <c r="C12">
        <v>2</v>
      </c>
      <c r="D12">
        <v>3</v>
      </c>
      <c r="E12">
        <v>0</v>
      </c>
      <c r="F12">
        <f>FACT(B12)</f>
        <v>5040</v>
      </c>
      <c r="G12">
        <f>PERMUT(B12,D12)</f>
        <v>210</v>
      </c>
      <c r="H12">
        <f>COMBIN(B12,D12)</f>
        <v>35</v>
      </c>
      <c r="I12">
        <f>ROUND(COMBIN(C12,E12)*COMBIN(B12-C12,D12-E12)/COMBIN(B12,D12),4)</f>
        <v>0.2857</v>
      </c>
      <c r="J12" t="str">
        <f>IF(I12&gt;=0.5,"KHA NANG CAO","KHA NANG THAP")</f>
        <v>KHA NANG THAP</v>
      </c>
      <c r="Y12" t="str">
        <v>Tong ToHop khi DuKien = KHA NANG CAO (SUMPRODUCT)</v>
      </c>
      <c r="Z12">
        <f>SUMPRODUCT((J2:J13="KHA NANG CAO")*H2:H13)</f>
        <v>120</v>
      </c>
    </row>
    <row r="13">
      <c r="A13" t="str">
        <v>B12</v>
      </c>
      <c r="B13">
        <v>10</v>
      </c>
      <c r="C13">
        <v>4</v>
      </c>
      <c r="D13">
        <v>3</v>
      </c>
      <c r="E13">
        <v>1</v>
      </c>
      <c r="F13">
        <f>FACT(B13)</f>
        <v>3628800</v>
      </c>
      <c r="G13">
        <f>PERMUT(B13,D13)</f>
        <v>720</v>
      </c>
      <c r="H13">
        <f>COMBIN(B13,D13)</f>
        <v>120</v>
      </c>
      <c r="I13">
        <f>ROUND(COMBIN(C13,E13)*COMBIN(B13-C13,D13-E13)/COMBIN(B13,D13),4)</f>
        <v>0.5</v>
      </c>
      <c r="J13" t="str">
        <f>IF(I13&gt;=0.5,"KHA NANG CAO","KHA NANG THAP")</f>
        <v>KHA NANG CAO</v>
      </c>
      <c r="Y13" t="str">
        <v>Tong Tong x ChonK</v>
      </c>
      <c r="Z13">
        <f>SUMPRODUCT(B2:B13,D2:D13)</f>
        <v>289</v>
      </c>
    </row>
  </sheetData>
  <ignoredErrors>
    <ignoredError numberStoredAsText="1" sqref="A1:Z13"/>
  </ignoredErrors>
</worksheet>
</file>

<file path=xl/worksheets/sheet47.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362880</v>
      </c>
      <c r="C2">
        <f>'toan11xs'!F2</f>
      </c>
      <c r="D2">
        <f>IF(ISERROR(C2),LEFT(B2&amp;"",1)="#",IF(ISNUMBER(C2),AND(ISNUMBER(B2),ABS(C2-B2)&lt;=0.000001*MAX(1,ABS(B2))),EXACT(C2&amp;"",B2&amp;"")))</f>
      </c>
      <c r="E2">
        <f>ISERROR(C2)</f>
      </c>
    </row>
    <row r="3">
      <c r="A3" t="str">
        <v>F3</v>
      </c>
      <c r="B3">
        <v>720</v>
      </c>
      <c r="C3">
        <f>'toan11xs'!F3</f>
      </c>
      <c r="D3">
        <f>IF(ISERROR(C3),LEFT(B3&amp;"",1)="#",IF(ISNUMBER(C3),AND(ISNUMBER(B3),ABS(C3-B3)&lt;=0.000001*MAX(1,ABS(B3))),EXACT(C3&amp;"",B3&amp;"")))</f>
      </c>
      <c r="E3">
        <f>ISERROR(C3)</f>
      </c>
    </row>
    <row r="4">
      <c r="A4" t="str">
        <v>F4</v>
      </c>
      <c r="B4">
        <v>5040</v>
      </c>
      <c r="C4">
        <f>'toan11xs'!F4</f>
      </c>
      <c r="D4">
        <f>IF(ISERROR(C4),LEFT(B4&amp;"",1)="#",IF(ISNUMBER(C4),AND(ISNUMBER(B4),ABS(C4-B4)&lt;=0.000001*MAX(1,ABS(B4))),EXACT(C4&amp;"",B4&amp;"")))</f>
      </c>
      <c r="E4">
        <f>ISERROR(C4)</f>
      </c>
    </row>
    <row r="5">
      <c r="A5" t="str">
        <v>F5</v>
      </c>
      <c r="B5">
        <v>5040</v>
      </c>
      <c r="C5">
        <f>'toan11xs'!F5</f>
      </c>
      <c r="D5">
        <f>IF(ISERROR(C5),LEFT(B5&amp;"",1)="#",IF(ISNUMBER(C5),AND(ISNUMBER(B5),ABS(C5-B5)&lt;=0.000001*MAX(1,ABS(B5))),EXACT(C5&amp;"",B5&amp;"")))</f>
      </c>
      <c r="E5">
        <f>ISERROR(C5)</f>
      </c>
    </row>
    <row r="6">
      <c r="A6" t="str">
        <v>F6</v>
      </c>
      <c r="B6">
        <v>5040</v>
      </c>
      <c r="C6">
        <f>'toan11xs'!F6</f>
      </c>
      <c r="D6">
        <f>IF(ISERROR(C6),LEFT(B6&amp;"",1)="#",IF(ISNUMBER(C6),AND(ISNUMBER(B6),ABS(C6-B6)&lt;=0.000001*MAX(1,ABS(B6))),EXACT(C6&amp;"",B6&amp;"")))</f>
      </c>
      <c r="E6">
        <f>ISERROR(C6)</f>
      </c>
    </row>
    <row r="7">
      <c r="A7" t="str">
        <v>F7</v>
      </c>
      <c r="B7">
        <v>3628800</v>
      </c>
      <c r="C7">
        <f>'toan11xs'!F7</f>
      </c>
      <c r="D7">
        <f>IF(ISERROR(C7),LEFT(B7&amp;"",1)="#",IF(ISNUMBER(C7),AND(ISNUMBER(B7),ABS(C7-B7)&lt;=0.000001*MAX(1,ABS(B7))),EXACT(C7&amp;"",B7&amp;"")))</f>
      </c>
      <c r="E7">
        <f>ISERROR(C7)</f>
      </c>
    </row>
    <row r="8">
      <c r="A8" t="str">
        <v>F8</v>
      </c>
      <c r="B8">
        <v>5040</v>
      </c>
      <c r="C8">
        <f>'toan11xs'!F8</f>
      </c>
      <c r="D8">
        <f>IF(ISERROR(C8),LEFT(B8&amp;"",1)="#",IF(ISNUMBER(C8),AND(ISNUMBER(B8),ABS(C8-B8)&lt;=0.000001*MAX(1,ABS(B8))),EXACT(C8&amp;"",B8&amp;"")))</f>
      </c>
      <c r="E8">
        <f>ISERROR(C8)</f>
      </c>
    </row>
    <row r="9">
      <c r="A9" t="str">
        <v>F9</v>
      </c>
      <c r="B9">
        <v>40320</v>
      </c>
      <c r="C9">
        <f>'toan11xs'!F9</f>
      </c>
      <c r="D9">
        <f>IF(ISERROR(C9),LEFT(B9&amp;"",1)="#",IF(ISNUMBER(C9),AND(ISNUMBER(B9),ABS(C9-B9)&lt;=0.000001*MAX(1,ABS(B9))),EXACT(C9&amp;"",B9&amp;"")))</f>
      </c>
      <c r="E9">
        <f>ISERROR(C9)</f>
      </c>
    </row>
    <row r="10">
      <c r="A10" t="str">
        <v>F10</v>
      </c>
      <c r="B10">
        <v>3628800</v>
      </c>
      <c r="C10">
        <f>'toan11xs'!F10</f>
      </c>
      <c r="D10">
        <f>IF(ISERROR(C10),LEFT(B10&amp;"",1)="#",IF(ISNUMBER(C10),AND(ISNUMBER(B10),ABS(C10-B10)&lt;=0.000001*MAX(1,ABS(B10))),EXACT(C10&amp;"",B10&amp;"")))</f>
      </c>
      <c r="E10">
        <f>ISERROR(C10)</f>
      </c>
    </row>
    <row r="11">
      <c r="A11" t="str">
        <v>F11</v>
      </c>
      <c r="B11">
        <v>40320</v>
      </c>
      <c r="C11">
        <f>'toan11xs'!F11</f>
      </c>
      <c r="D11">
        <f>IF(ISERROR(C11),LEFT(B11&amp;"",1)="#",IF(ISNUMBER(C11),AND(ISNUMBER(B11),ABS(C11-B11)&lt;=0.000001*MAX(1,ABS(B11))),EXACT(C11&amp;"",B11&amp;"")))</f>
      </c>
      <c r="E11">
        <f>ISERROR(C11)</f>
      </c>
    </row>
    <row r="12">
      <c r="A12" t="str">
        <v>F12</v>
      </c>
      <c r="B12">
        <v>5040</v>
      </c>
      <c r="C12">
        <f>'toan11xs'!F12</f>
      </c>
      <c r="D12">
        <f>IF(ISERROR(C12),LEFT(B12&amp;"",1)="#",IF(ISNUMBER(C12),AND(ISNUMBER(B12),ABS(C12-B12)&lt;=0.000001*MAX(1,ABS(B12))),EXACT(C12&amp;"",B12&amp;"")))</f>
      </c>
      <c r="E12">
        <f>ISERROR(C12)</f>
      </c>
    </row>
    <row r="13">
      <c r="A13" t="str">
        <v>F13</v>
      </c>
      <c r="B13">
        <v>3628800</v>
      </c>
      <c r="C13">
        <f>'toan11xs'!F13</f>
      </c>
      <c r="D13">
        <f>IF(ISERROR(C13),LEFT(B13&amp;"",1)="#",IF(ISNUMBER(C13),AND(ISNUMBER(B13),ABS(C13-B13)&lt;=0.000001*MAX(1,ABS(B13))),EXACT(C13&amp;"",B13&amp;"")))</f>
      </c>
      <c r="E13">
        <f>ISERROR(C13)</f>
      </c>
    </row>
    <row r="14">
      <c r="A14" t="str">
        <v>G2</v>
      </c>
      <c r="B14">
        <v>504</v>
      </c>
      <c r="C14">
        <f>'toan11xs'!G2</f>
      </c>
      <c r="D14">
        <f>IF(ISERROR(C14),LEFT(B14&amp;"",1)="#",IF(ISNUMBER(C14),AND(ISNUMBER(B14),ABS(C14-B14)&lt;=0.000001*MAX(1,ABS(B14))),EXACT(C14&amp;"",B14&amp;"")))</f>
      </c>
      <c r="E14">
        <f>ISERROR(C14)</f>
      </c>
    </row>
    <row r="15">
      <c r="A15" t="str">
        <v>G3</v>
      </c>
      <c r="B15">
        <v>30</v>
      </c>
      <c r="C15">
        <f>'toan11xs'!G3</f>
      </c>
      <c r="D15">
        <f>IF(ISERROR(C15),LEFT(B15&amp;"",1)="#",IF(ISNUMBER(C15),AND(ISNUMBER(B15),ABS(C15-B15)&lt;=0.000001*MAX(1,ABS(B15))),EXACT(C15&amp;"",B15&amp;"")))</f>
      </c>
      <c r="E15">
        <f>ISERROR(C15)</f>
      </c>
    </row>
    <row r="16">
      <c r="A16" t="str">
        <v>G4</v>
      </c>
      <c r="B16">
        <v>210</v>
      </c>
      <c r="C16">
        <f>'toan11xs'!G4</f>
      </c>
      <c r="D16">
        <f>IF(ISERROR(C16),LEFT(B16&amp;"",1)="#",IF(ISNUMBER(C16),AND(ISNUMBER(B16),ABS(C16-B16)&lt;=0.000001*MAX(1,ABS(B16))),EXACT(C16&amp;"",B16&amp;"")))</f>
      </c>
      <c r="E16">
        <f>ISERROR(C16)</f>
      </c>
    </row>
    <row r="17">
      <c r="A17" t="str">
        <v>G5</v>
      </c>
      <c r="B17">
        <v>840</v>
      </c>
      <c r="C17">
        <f>'toan11xs'!G5</f>
      </c>
      <c r="D17">
        <f>IF(ISERROR(C17),LEFT(B17&amp;"",1)="#",IF(ISNUMBER(C17),AND(ISNUMBER(B17),ABS(C17-B17)&lt;=0.000001*MAX(1,ABS(B17))),EXACT(C17&amp;"",B17&amp;"")))</f>
      </c>
      <c r="E17">
        <f>ISERROR(C17)</f>
      </c>
    </row>
    <row r="18">
      <c r="A18" t="str">
        <v>G6</v>
      </c>
      <c r="B18">
        <v>840</v>
      </c>
      <c r="C18">
        <f>'toan11xs'!G6</f>
      </c>
      <c r="D18">
        <f>IF(ISERROR(C18),LEFT(B18&amp;"",1)="#",IF(ISNUMBER(C18),AND(ISNUMBER(B18),ABS(C18-B18)&lt;=0.000001*MAX(1,ABS(B18))),EXACT(C18&amp;"",B18&amp;"")))</f>
      </c>
      <c r="E18">
        <f>ISERROR(C18)</f>
      </c>
    </row>
    <row r="19">
      <c r="A19" t="str">
        <v>G7</v>
      </c>
      <c r="B19">
        <v>90</v>
      </c>
      <c r="C19">
        <f>'toan11xs'!G7</f>
      </c>
      <c r="D19">
        <f>IF(ISERROR(C19),LEFT(B19&amp;"",1)="#",IF(ISNUMBER(C19),AND(ISNUMBER(B19),ABS(C19-B19)&lt;=0.000001*MAX(1,ABS(B19))),EXACT(C19&amp;"",B19&amp;"")))</f>
      </c>
      <c r="E19">
        <f>ISERROR(C19)</f>
      </c>
    </row>
    <row r="20">
      <c r="A20" t="str">
        <v>G8</v>
      </c>
      <c r="B20">
        <v>42</v>
      </c>
      <c r="C20">
        <f>'toan11xs'!G8</f>
      </c>
      <c r="D20">
        <f>IF(ISERROR(C20),LEFT(B20&amp;"",1)="#",IF(ISNUMBER(C20),AND(ISNUMBER(B20),ABS(C20-B20)&lt;=0.000001*MAX(1,ABS(B20))),EXACT(C20&amp;"",B20&amp;"")))</f>
      </c>
      <c r="E20">
        <f>ISERROR(C20)</f>
      </c>
    </row>
    <row r="21">
      <c r="A21" t="str">
        <v>G9</v>
      </c>
      <c r="B21">
        <v>1680</v>
      </c>
      <c r="C21">
        <f>'toan11xs'!G9</f>
      </c>
      <c r="D21">
        <f>IF(ISERROR(C21),LEFT(B21&amp;"",1)="#",IF(ISNUMBER(C21),AND(ISNUMBER(B21),ABS(C21-B21)&lt;=0.000001*MAX(1,ABS(B21))),EXACT(C21&amp;"",B21&amp;"")))</f>
      </c>
      <c r="E21">
        <f>ISERROR(C21)</f>
      </c>
    </row>
    <row r="22">
      <c r="A22" t="str">
        <v>G10</v>
      </c>
      <c r="B22">
        <v>5040</v>
      </c>
      <c r="C22">
        <f>'toan11xs'!G10</f>
      </c>
      <c r="D22">
        <f>IF(ISERROR(C22),LEFT(B22&amp;"",1)="#",IF(ISNUMBER(C22),AND(ISNUMBER(B22),ABS(C22-B22)&lt;=0.000001*MAX(1,ABS(B22))),EXACT(C22&amp;"",B22&amp;"")))</f>
      </c>
      <c r="E22">
        <f>ISERROR(C22)</f>
      </c>
    </row>
    <row r="23">
      <c r="A23" t="str">
        <v>G11</v>
      </c>
      <c r="B23">
        <v>56</v>
      </c>
      <c r="C23">
        <f>'toan11xs'!G11</f>
      </c>
      <c r="D23">
        <f>IF(ISERROR(C23),LEFT(B23&amp;"",1)="#",IF(ISNUMBER(C23),AND(ISNUMBER(B23),ABS(C23-B23)&lt;=0.000001*MAX(1,ABS(B23))),EXACT(C23&amp;"",B23&amp;"")))</f>
      </c>
      <c r="E23">
        <f>ISERROR(C23)</f>
      </c>
    </row>
    <row r="24">
      <c r="A24" t="str">
        <v>G12</v>
      </c>
      <c r="B24">
        <v>210</v>
      </c>
      <c r="C24">
        <f>'toan11xs'!G12</f>
      </c>
      <c r="D24">
        <f>IF(ISERROR(C24),LEFT(B24&amp;"",1)="#",IF(ISNUMBER(C24),AND(ISNUMBER(B24),ABS(C24-B24)&lt;=0.000001*MAX(1,ABS(B24))),EXACT(C24&amp;"",B24&amp;"")))</f>
      </c>
      <c r="E24">
        <f>ISERROR(C24)</f>
      </c>
    </row>
    <row r="25">
      <c r="A25" t="str">
        <v>G13</v>
      </c>
      <c r="B25">
        <v>720</v>
      </c>
      <c r="C25">
        <f>'toan11xs'!G13</f>
      </c>
      <c r="D25">
        <f>IF(ISERROR(C25),LEFT(B25&amp;"",1)="#",IF(ISNUMBER(C25),AND(ISNUMBER(B25),ABS(C25-B25)&lt;=0.000001*MAX(1,ABS(B25))),EXACT(C25&amp;"",B25&amp;"")))</f>
      </c>
      <c r="E25">
        <f>ISERROR(C25)</f>
      </c>
    </row>
    <row r="26">
      <c r="A26" t="str">
        <v>H2</v>
      </c>
      <c r="B26">
        <v>84</v>
      </c>
      <c r="C26">
        <f>'toan11xs'!H2</f>
      </c>
      <c r="D26">
        <f>IF(ISERROR(C26),LEFT(B26&amp;"",1)="#",IF(ISNUMBER(C26),AND(ISNUMBER(B26),ABS(C26-B26)&lt;=0.000001*MAX(1,ABS(B26))),EXACT(C26&amp;"",B26&amp;"")))</f>
      </c>
      <c r="E26">
        <f>ISERROR(C26)</f>
      </c>
    </row>
    <row r="27">
      <c r="A27" t="str">
        <v>H3</v>
      </c>
      <c r="B27">
        <v>15</v>
      </c>
      <c r="C27">
        <f>'toan11xs'!H3</f>
      </c>
      <c r="D27">
        <f>IF(ISERROR(C27),LEFT(B27&amp;"",1)="#",IF(ISNUMBER(C27),AND(ISNUMBER(B27),ABS(C27-B27)&lt;=0.000001*MAX(1,ABS(B27))),EXACT(C27&amp;"",B27&amp;"")))</f>
      </c>
      <c r="E27">
        <f>ISERROR(C27)</f>
      </c>
    </row>
    <row r="28">
      <c r="A28" t="str">
        <v>H4</v>
      </c>
      <c r="B28">
        <v>35</v>
      </c>
      <c r="C28">
        <f>'toan11xs'!H4</f>
      </c>
      <c r="D28">
        <f>IF(ISERROR(C28),LEFT(B28&amp;"",1)="#",IF(ISNUMBER(C28),AND(ISNUMBER(B28),ABS(C28-B28)&lt;=0.000001*MAX(1,ABS(B28))),EXACT(C28&amp;"",B28&amp;"")))</f>
      </c>
      <c r="E28">
        <f>ISERROR(C28)</f>
      </c>
    </row>
    <row r="29">
      <c r="A29" t="str">
        <v>H5</v>
      </c>
      <c r="B29">
        <v>35</v>
      </c>
      <c r="C29">
        <f>'toan11xs'!H5</f>
      </c>
      <c r="D29">
        <f>IF(ISERROR(C29),LEFT(B29&amp;"",1)="#",IF(ISNUMBER(C29),AND(ISNUMBER(B29),ABS(C29-B29)&lt;=0.000001*MAX(1,ABS(B29))),EXACT(C29&amp;"",B29&amp;"")))</f>
      </c>
      <c r="E29">
        <f>ISERROR(C29)</f>
      </c>
    </row>
    <row r="30">
      <c r="A30" t="str">
        <v>H6</v>
      </c>
      <c r="B30">
        <v>35</v>
      </c>
      <c r="C30">
        <f>'toan11xs'!H6</f>
      </c>
      <c r="D30">
        <f>IF(ISERROR(C30),LEFT(B30&amp;"",1)="#",IF(ISNUMBER(C30),AND(ISNUMBER(B30),ABS(C30-B30)&lt;=0.000001*MAX(1,ABS(B30))),EXACT(C30&amp;"",B30&amp;"")))</f>
      </c>
      <c r="E30">
        <f>ISERROR(C30)</f>
      </c>
    </row>
    <row r="31">
      <c r="A31" t="str">
        <v>H7</v>
      </c>
      <c r="B31">
        <v>45</v>
      </c>
      <c r="C31">
        <f>'toan11xs'!H7</f>
      </c>
      <c r="D31">
        <f>IF(ISERROR(C31),LEFT(B31&amp;"",1)="#",IF(ISNUMBER(C31),AND(ISNUMBER(B31),ABS(C31-B31)&lt;=0.000001*MAX(1,ABS(B31))),EXACT(C31&amp;"",B31&amp;"")))</f>
      </c>
      <c r="E31">
        <f>ISERROR(C31)</f>
      </c>
    </row>
    <row r="32">
      <c r="A32" t="str">
        <v>H8</v>
      </c>
      <c r="B32">
        <v>21</v>
      </c>
      <c r="C32">
        <f>'toan11xs'!H8</f>
      </c>
      <c r="D32">
        <f>IF(ISERROR(C32),LEFT(B32&amp;"",1)="#",IF(ISNUMBER(C32),AND(ISNUMBER(B32),ABS(C32-B32)&lt;=0.000001*MAX(1,ABS(B32))),EXACT(C32&amp;"",B32&amp;"")))</f>
      </c>
      <c r="E32">
        <f>ISERROR(C32)</f>
      </c>
    </row>
    <row r="33">
      <c r="A33" t="str">
        <v>H9</v>
      </c>
      <c r="B33">
        <v>70</v>
      </c>
      <c r="C33">
        <f>'toan11xs'!H9</f>
      </c>
      <c r="D33">
        <f>IF(ISERROR(C33),LEFT(B33&amp;"",1)="#",IF(ISNUMBER(C33),AND(ISNUMBER(B33),ABS(C33-B33)&lt;=0.000001*MAX(1,ABS(B33))),EXACT(C33&amp;"",B33&amp;"")))</f>
      </c>
      <c r="E33">
        <f>ISERROR(C33)</f>
      </c>
    </row>
    <row r="34">
      <c r="A34" t="str">
        <v>H10</v>
      </c>
      <c r="B34">
        <v>210</v>
      </c>
      <c r="C34">
        <f>'toan11xs'!H10</f>
      </c>
      <c r="D34">
        <f>IF(ISERROR(C34),LEFT(B34&amp;"",1)="#",IF(ISNUMBER(C34),AND(ISNUMBER(B34),ABS(C34-B34)&lt;=0.000001*MAX(1,ABS(B34))),EXACT(C34&amp;"",B34&amp;"")))</f>
      </c>
      <c r="E34">
        <f>ISERROR(C34)</f>
      </c>
    </row>
    <row r="35">
      <c r="A35" t="str">
        <v>H11</v>
      </c>
      <c r="B35">
        <v>28</v>
      </c>
      <c r="C35">
        <f>'toan11xs'!H11</f>
      </c>
      <c r="D35">
        <f>IF(ISERROR(C35),LEFT(B35&amp;"",1)="#",IF(ISNUMBER(C35),AND(ISNUMBER(B35),ABS(C35-B35)&lt;=0.000001*MAX(1,ABS(B35))),EXACT(C35&amp;"",B35&amp;"")))</f>
      </c>
      <c r="E35">
        <f>ISERROR(C35)</f>
      </c>
    </row>
    <row r="36">
      <c r="A36" t="str">
        <v>H12</v>
      </c>
      <c r="B36">
        <v>35</v>
      </c>
      <c r="C36">
        <f>'toan11xs'!H12</f>
      </c>
      <c r="D36">
        <f>IF(ISERROR(C36),LEFT(B36&amp;"",1)="#",IF(ISNUMBER(C36),AND(ISNUMBER(B36),ABS(C36-B36)&lt;=0.000001*MAX(1,ABS(B36))),EXACT(C36&amp;"",B36&amp;"")))</f>
      </c>
      <c r="E36">
        <f>ISERROR(C36)</f>
      </c>
    </row>
    <row r="37">
      <c r="A37" t="str">
        <v>H13</v>
      </c>
      <c r="B37">
        <v>120</v>
      </c>
      <c r="C37">
        <f>'toan11xs'!H13</f>
      </c>
      <c r="D37">
        <f>IF(ISERROR(C37),LEFT(B37&amp;"",1)="#",IF(ISNUMBER(C37),AND(ISNUMBER(B37),ABS(C37-B37)&lt;=0.000001*MAX(1,ABS(B37))),EXACT(C37&amp;"",B37&amp;"")))</f>
      </c>
      <c r="E37">
        <f>ISERROR(C37)</f>
      </c>
    </row>
    <row r="38">
      <c r="A38" t="str">
        <v>I2</v>
      </c>
      <c r="B38">
        <v>0.119</v>
      </c>
      <c r="C38">
        <f>'toan11xs'!I2</f>
      </c>
      <c r="D38">
        <f>IF(ISERROR(C38),LEFT(B38&amp;"",1)="#",IF(ISNUMBER(C38),AND(ISNUMBER(B38),ABS(C38-B38)&lt;=0.000001*MAX(1,ABS(B38))),EXACT(C38&amp;"",B38&amp;"")))</f>
      </c>
      <c r="E38">
        <f>ISERROR(C38)</f>
      </c>
    </row>
    <row r="39">
      <c r="A39" t="str">
        <v>I3</v>
      </c>
      <c r="B39">
        <v>0.4</v>
      </c>
      <c r="C39">
        <f>'toan11xs'!I3</f>
      </c>
      <c r="D39">
        <f>IF(ISERROR(C39),LEFT(B39&amp;"",1)="#",IF(ISNUMBER(C39),AND(ISNUMBER(B39),ABS(C39-B39)&lt;=0.000001*MAX(1,ABS(B39))),EXACT(C39&amp;"",B39&amp;"")))</f>
      </c>
      <c r="E39">
        <f>ISERROR(C39)</f>
      </c>
    </row>
    <row r="40">
      <c r="A40" t="str">
        <v>I4</v>
      </c>
      <c r="B40">
        <v>0.3429</v>
      </c>
      <c r="C40">
        <f>'toan11xs'!I4</f>
      </c>
      <c r="D40">
        <f>IF(ISERROR(C40),LEFT(B40&amp;"",1)="#",IF(ISNUMBER(C40),AND(ISNUMBER(B40),ABS(C40-B40)&lt;=0.000001*MAX(1,ABS(B40))),EXACT(C40&amp;"",B40&amp;"")))</f>
      </c>
      <c r="E40">
        <f>ISERROR(C40)</f>
      </c>
    </row>
    <row r="41">
      <c r="A41" t="str">
        <v>I5</v>
      </c>
      <c r="B41">
        <v>0.1429</v>
      </c>
      <c r="C41">
        <f>'toan11xs'!I5</f>
      </c>
      <c r="D41">
        <f>IF(ISERROR(C41),LEFT(B41&amp;"",1)="#",IF(ISNUMBER(C41),AND(ISNUMBER(B41),ABS(C41-B41)&lt;=0.000001*MAX(1,ABS(B41))),EXACT(C41&amp;"",B41&amp;"")))</f>
      </c>
      <c r="E41">
        <f>ISERROR(C41)</f>
      </c>
    </row>
    <row r="42">
      <c r="A42" t="str">
        <v>I6</v>
      </c>
      <c r="B42">
        <v>0.2857</v>
      </c>
      <c r="C42">
        <f>'toan11xs'!I6</f>
      </c>
      <c r="D42">
        <f>IF(ISERROR(C42),LEFT(B42&amp;"",1)="#",IF(ISNUMBER(C42),AND(ISNUMBER(B42),ABS(C42-B42)&lt;=0.000001*MAX(1,ABS(B42))),EXACT(C42&amp;"",B42&amp;"")))</f>
      </c>
      <c r="E42">
        <f>ISERROR(C42)</f>
      </c>
    </row>
    <row r="43">
      <c r="A43" t="str">
        <v>I7</v>
      </c>
      <c r="B43">
        <v>0.3556</v>
      </c>
      <c r="C43">
        <f>'toan11xs'!I7</f>
      </c>
      <c r="D43">
        <f>IF(ISERROR(C43),LEFT(B43&amp;"",1)="#",IF(ISNUMBER(C43),AND(ISNUMBER(B43),ABS(C43-B43)&lt;=0.000001*MAX(1,ABS(B43))),EXACT(C43&amp;"",B43&amp;"")))</f>
      </c>
      <c r="E43">
        <f>ISERROR(C43)</f>
      </c>
    </row>
    <row r="44">
      <c r="A44" t="str">
        <v>I8</v>
      </c>
      <c r="B44">
        <v>0.1429</v>
      </c>
      <c r="C44">
        <f>'toan11xs'!I8</f>
      </c>
      <c r="D44">
        <f>IF(ISERROR(C44),LEFT(B44&amp;"",1)="#",IF(ISNUMBER(C44),AND(ISNUMBER(B44),ABS(C44-B44)&lt;=0.000001*MAX(1,ABS(B44))),EXACT(C44&amp;"",B44&amp;"")))</f>
      </c>
      <c r="E44">
        <f>ISERROR(C44)</f>
      </c>
    </row>
    <row r="45">
      <c r="A45" t="str">
        <v>I9</v>
      </c>
      <c r="B45">
        <v>0.2143</v>
      </c>
      <c r="C45">
        <f>'toan11xs'!I9</f>
      </c>
      <c r="D45">
        <f>IF(ISERROR(C45),LEFT(B45&amp;"",1)="#",IF(ISNUMBER(C45),AND(ISNUMBER(B45),ABS(C45-B45)&lt;=0.000001*MAX(1,ABS(B45))),EXACT(C45&amp;"",B45&amp;"")))</f>
      </c>
      <c r="E45">
        <f>ISERROR(C45)</f>
      </c>
    </row>
    <row r="46">
      <c r="A46" t="str">
        <v>I10</v>
      </c>
      <c r="B46">
        <v>0.3333</v>
      </c>
      <c r="C46">
        <f>'toan11xs'!I10</f>
      </c>
      <c r="D46">
        <f>IF(ISERROR(C46),LEFT(B46&amp;"",1)="#",IF(ISNUMBER(C46),AND(ISNUMBER(B46),ABS(C46-B46)&lt;=0.000001*MAX(1,ABS(B46))),EXACT(C46&amp;"",B46&amp;"")))</f>
      </c>
      <c r="E46">
        <f>ISERROR(C46)</f>
      </c>
    </row>
    <row r="47">
      <c r="A47" t="str">
        <v>I11</v>
      </c>
      <c r="B47">
        <v>0.4286</v>
      </c>
      <c r="C47">
        <f>'toan11xs'!I11</f>
      </c>
      <c r="D47">
        <f>IF(ISERROR(C47),LEFT(B47&amp;"",1)="#",IF(ISNUMBER(C47),AND(ISNUMBER(B47),ABS(C47-B47)&lt;=0.000001*MAX(1,ABS(B47))),EXACT(C47&amp;"",B47&amp;"")))</f>
      </c>
      <c r="E47">
        <f>ISERROR(C47)</f>
      </c>
    </row>
    <row r="48">
      <c r="A48" t="str">
        <v>I12</v>
      </c>
      <c r="B48">
        <v>0.2857</v>
      </c>
      <c r="C48">
        <f>'toan11xs'!I12</f>
      </c>
      <c r="D48">
        <f>IF(ISERROR(C48),LEFT(B48&amp;"",1)="#",IF(ISNUMBER(C48),AND(ISNUMBER(B48),ABS(C48-B48)&lt;=0.000001*MAX(1,ABS(B48))),EXACT(C48&amp;"",B48&amp;"")))</f>
      </c>
      <c r="E48">
        <f>ISERROR(C48)</f>
      </c>
    </row>
    <row r="49">
      <c r="A49" t="str">
        <v>I13</v>
      </c>
      <c r="B49">
        <v>0.5</v>
      </c>
      <c r="C49">
        <f>'toan11xs'!I13</f>
      </c>
      <c r="D49">
        <f>IF(ISERROR(C49),LEFT(B49&amp;"",1)="#",IF(ISNUMBER(C49),AND(ISNUMBER(B49),ABS(C49-B49)&lt;=0.000001*MAX(1,ABS(B49))),EXACT(C49&amp;"",B49&amp;"")))</f>
      </c>
      <c r="E49">
        <f>ISERROR(C49)</f>
      </c>
    </row>
    <row r="50">
      <c r="A50" t="str">
        <v>J2</v>
      </c>
      <c r="B50" t="str">
        <v>KHA NANG THAP</v>
      </c>
      <c r="C50">
        <f>'toan11xs'!J2</f>
      </c>
      <c r="D50">
        <f>IF(ISERROR(C50),LEFT(B50&amp;"",1)="#",IF(ISNUMBER(C50),AND(ISNUMBER(B50),ABS(C50-B50)&lt;=0.000001*MAX(1,ABS(B50))),EXACT(C50&amp;"",B50&amp;"")))</f>
      </c>
      <c r="E50">
        <f>ISERROR(C50)</f>
      </c>
    </row>
    <row r="51">
      <c r="A51" t="str">
        <v>J3</v>
      </c>
      <c r="B51" t="str">
        <v>KHA NANG THAP</v>
      </c>
      <c r="C51">
        <f>'toan11xs'!J3</f>
      </c>
      <c r="D51">
        <f>IF(ISERROR(C51),LEFT(B51&amp;"",1)="#",IF(ISNUMBER(C51),AND(ISNUMBER(B51),ABS(C51-B51)&lt;=0.000001*MAX(1,ABS(B51))),EXACT(C51&amp;"",B51&amp;"")))</f>
      </c>
      <c r="E51">
        <f>ISERROR(C51)</f>
      </c>
    </row>
    <row r="52">
      <c r="A52" t="str">
        <v>J4</v>
      </c>
      <c r="B52" t="str">
        <v>KHA NANG THAP</v>
      </c>
      <c r="C52">
        <f>'toan11xs'!J4</f>
      </c>
      <c r="D52">
        <f>IF(ISERROR(C52),LEFT(B52&amp;"",1)="#",IF(ISNUMBER(C52),AND(ISNUMBER(B52),ABS(C52-B52)&lt;=0.000001*MAX(1,ABS(B52))),EXACT(C52&amp;"",B52&amp;"")))</f>
      </c>
      <c r="E52">
        <f>ISERROR(C52)</f>
      </c>
    </row>
    <row r="53">
      <c r="A53" t="str">
        <v>J5</v>
      </c>
      <c r="B53" t="str">
        <v>KHA NANG THAP</v>
      </c>
      <c r="C53">
        <f>'toan11xs'!J5</f>
      </c>
      <c r="D53">
        <f>IF(ISERROR(C53),LEFT(B53&amp;"",1)="#",IF(ISNUMBER(C53),AND(ISNUMBER(B53),ABS(C53-B53)&lt;=0.000001*MAX(1,ABS(B53))),EXACT(C53&amp;"",B53&amp;"")))</f>
      </c>
      <c r="E53">
        <f>ISERROR(C53)</f>
      </c>
    </row>
    <row r="54">
      <c r="A54" t="str">
        <v>J6</v>
      </c>
      <c r="B54" t="str">
        <v>KHA NANG THAP</v>
      </c>
      <c r="C54">
        <f>'toan11xs'!J6</f>
      </c>
      <c r="D54">
        <f>IF(ISERROR(C54),LEFT(B54&amp;"",1)="#",IF(ISNUMBER(C54),AND(ISNUMBER(B54),ABS(C54-B54)&lt;=0.000001*MAX(1,ABS(B54))),EXACT(C54&amp;"",B54&amp;"")))</f>
      </c>
      <c r="E54">
        <f>ISERROR(C54)</f>
      </c>
    </row>
    <row r="55">
      <c r="A55" t="str">
        <v>J7</v>
      </c>
      <c r="B55" t="str">
        <v>KHA NANG THAP</v>
      </c>
      <c r="C55">
        <f>'toan11xs'!J7</f>
      </c>
      <c r="D55">
        <f>IF(ISERROR(C55),LEFT(B55&amp;"",1)="#",IF(ISNUMBER(C55),AND(ISNUMBER(B55),ABS(C55-B55)&lt;=0.000001*MAX(1,ABS(B55))),EXACT(C55&amp;"",B55&amp;"")))</f>
      </c>
      <c r="E55">
        <f>ISERROR(C55)</f>
      </c>
    </row>
    <row r="56">
      <c r="A56" t="str">
        <v>J8</v>
      </c>
      <c r="B56" t="str">
        <v>KHA NANG THAP</v>
      </c>
      <c r="C56">
        <f>'toan11xs'!J8</f>
      </c>
      <c r="D56">
        <f>IF(ISERROR(C56),LEFT(B56&amp;"",1)="#",IF(ISNUMBER(C56),AND(ISNUMBER(B56),ABS(C56-B56)&lt;=0.000001*MAX(1,ABS(B56))),EXACT(C56&amp;"",B56&amp;"")))</f>
      </c>
      <c r="E56">
        <f>ISERROR(C56)</f>
      </c>
    </row>
    <row r="57">
      <c r="A57" t="str">
        <v>J9</v>
      </c>
      <c r="B57" t="str">
        <v>KHA NANG THAP</v>
      </c>
      <c r="C57">
        <f>'toan11xs'!J9</f>
      </c>
      <c r="D57">
        <f>IF(ISERROR(C57),LEFT(B57&amp;"",1)="#",IF(ISNUMBER(C57),AND(ISNUMBER(B57),ABS(C57-B57)&lt;=0.000001*MAX(1,ABS(B57))),EXACT(C57&amp;"",B57&amp;"")))</f>
      </c>
      <c r="E57">
        <f>ISERROR(C57)</f>
      </c>
    </row>
    <row r="58">
      <c r="A58" t="str">
        <v>J10</v>
      </c>
      <c r="B58" t="str">
        <v>KHA NANG THAP</v>
      </c>
      <c r="C58">
        <f>'toan11xs'!J10</f>
      </c>
      <c r="D58">
        <f>IF(ISERROR(C58),LEFT(B58&amp;"",1)="#",IF(ISNUMBER(C58),AND(ISNUMBER(B58),ABS(C58-B58)&lt;=0.000001*MAX(1,ABS(B58))),EXACT(C58&amp;"",B58&amp;"")))</f>
      </c>
      <c r="E58">
        <f>ISERROR(C58)</f>
      </c>
    </row>
    <row r="59">
      <c r="A59" t="str">
        <v>J11</v>
      </c>
      <c r="B59" t="str">
        <v>KHA NANG THAP</v>
      </c>
      <c r="C59">
        <f>'toan11xs'!J11</f>
      </c>
      <c r="D59">
        <f>IF(ISERROR(C59),LEFT(B59&amp;"",1)="#",IF(ISNUMBER(C59),AND(ISNUMBER(B59),ABS(C59-B59)&lt;=0.000001*MAX(1,ABS(B59))),EXACT(C59&amp;"",B59&amp;"")))</f>
      </c>
      <c r="E59">
        <f>ISERROR(C59)</f>
      </c>
    </row>
    <row r="60">
      <c r="A60" t="str">
        <v>J12</v>
      </c>
      <c r="B60" t="str">
        <v>KHA NANG THAP</v>
      </c>
      <c r="C60">
        <f>'toan11xs'!J12</f>
      </c>
      <c r="D60">
        <f>IF(ISERROR(C60),LEFT(B60&amp;"",1)="#",IF(ISNUMBER(C60),AND(ISNUMBER(B60),ABS(C60-B60)&lt;=0.000001*MAX(1,ABS(B60))),EXACT(C60&amp;"",B60&amp;"")))</f>
      </c>
      <c r="E60">
        <f>ISERROR(C60)</f>
      </c>
    </row>
    <row r="61">
      <c r="A61" t="str">
        <v>J13</v>
      </c>
      <c r="B61" t="str">
        <v>KHA NANG CAO</v>
      </c>
      <c r="C61">
        <f>'toan11xs'!J13</f>
      </c>
      <c r="D61">
        <f>IF(ISERROR(C61),LEFT(B61&amp;"",1)="#",IF(ISNUMBER(C61),AND(ISNUMBER(B61),ABS(C61-B61)&lt;=0.000001*MAX(1,ABS(B61))),EXACT(C61&amp;"",B61&amp;"")))</f>
      </c>
      <c r="E61">
        <f>ISERROR(C61)</f>
      </c>
    </row>
    <row r="62">
      <c r="A62" t="str">
        <v>Z2</v>
      </c>
      <c r="B62" t="str">
        <v>B12</v>
      </c>
      <c r="C62">
        <f>'toan11xs'!Z2</f>
      </c>
      <c r="D62">
        <f>IF(ISERROR(C62),LEFT(B62&amp;"",1)="#",IF(ISNUMBER(C62),AND(ISNUMBER(B62),ABS(C62-B62)&lt;=0.000001*MAX(1,ABS(B62))),EXACT(C62&amp;"",B62&amp;"")))</f>
      </c>
      <c r="E62">
        <f>ISERROR(C62)</f>
      </c>
    </row>
    <row r="63">
      <c r="A63" t="str">
        <v>Z3</v>
      </c>
      <c r="B63">
        <v>120</v>
      </c>
      <c r="C63">
        <f>'toan11xs'!Z3</f>
      </c>
      <c r="D63">
        <f>IF(ISERROR(C63),LEFT(B63&amp;"",1)="#",IF(ISNUMBER(C63),AND(ISNUMBER(B63),ABS(C63-B63)&lt;=0.000001*MAX(1,ABS(B63))),EXACT(C63&amp;"",B63&amp;"")))</f>
      </c>
      <c r="E63">
        <f>ISERROR(C63)</f>
      </c>
    </row>
    <row r="64">
      <c r="A64" t="str">
        <v>Z4</v>
      </c>
      <c r="B64">
        <v>7</v>
      </c>
      <c r="C64">
        <f>'toan11xs'!Z4</f>
      </c>
      <c r="D64">
        <f>IF(ISERROR(C64),LEFT(B64&amp;"",1)="#",IF(ISNUMBER(C64),AND(ISNUMBER(B64),ABS(C64-B64)&lt;=0.000001*MAX(1,ABS(B64))),EXACT(C64&amp;"",B64&amp;"")))</f>
      </c>
      <c r="E64">
        <f>ISERROR(C64)</f>
      </c>
    </row>
    <row r="65">
      <c r="A65" t="str">
        <v>Z5</v>
      </c>
      <c r="B65">
        <v>0.27735454545454546</v>
      </c>
      <c r="C65">
        <f>'toan11xs'!Z5</f>
      </c>
      <c r="D65">
        <f>IF(ISERROR(C65),LEFT(B65&amp;"",1)="#",IF(ISNUMBER(C65),AND(ISNUMBER(B65),ABS(C65-B65)&lt;=0.000001*MAX(1,ABS(B65))),EXACT(C65&amp;"",B65&amp;"")))</f>
      </c>
      <c r="E65">
        <f>ISERROR(C65)</f>
      </c>
    </row>
    <row r="66">
      <c r="A66" t="str">
        <v>Z6</v>
      </c>
      <c r="B66">
        <v>720</v>
      </c>
      <c r="C66">
        <f>'toan11xs'!Z6</f>
      </c>
      <c r="D66">
        <f>IF(ISERROR(C66),LEFT(B66&amp;"",1)="#",IF(ISNUMBER(C66),AND(ISNUMBER(B66),ABS(C66-B66)&lt;=0.000001*MAX(1,ABS(B66))),EXACT(C66&amp;"",B66&amp;"")))</f>
      </c>
      <c r="E66">
        <f>ISERROR(C66)</f>
      </c>
    </row>
    <row r="67">
      <c r="A67" t="str">
        <v>Z7</v>
      </c>
      <c r="B67">
        <v>0.3095</v>
      </c>
      <c r="C67">
        <f>'toan11xs'!Z7</f>
      </c>
      <c r="D67">
        <f>IF(ISERROR(C67),LEFT(B67&amp;"",1)="#",IF(ISNUMBER(C67),AND(ISNUMBER(B67),ABS(C67-B67)&lt;=0.000001*MAX(1,ABS(B67))),EXACT(C67&amp;"",B67&amp;"")))</f>
      </c>
      <c r="E67">
        <f>ISERROR(C67)</f>
      </c>
    </row>
    <row r="68">
      <c r="A68" t="str">
        <v>Z8</v>
      </c>
      <c r="B68">
        <v>0.4286</v>
      </c>
      <c r="C68">
        <f>'toan11xs'!Z8</f>
      </c>
      <c r="D68">
        <f>IF(ISERROR(C68),LEFT(B68&amp;"",1)="#",IF(ISNUMBER(C68),AND(ISNUMBER(B68),ABS(C68-B68)&lt;=0.000001*MAX(1,ABS(B68))),EXACT(C68&amp;"",B68&amp;"")))</f>
      </c>
      <c r="E68">
        <f>ISERROR(C68)</f>
      </c>
    </row>
    <row r="69">
      <c r="A69" t="str">
        <v>Z9</v>
      </c>
      <c r="B69">
        <v>55.6</v>
      </c>
      <c r="C69">
        <f>'toan11xs'!Z9</f>
      </c>
      <c r="D69">
        <f>IF(ISERROR(C69),LEFT(B69&amp;"",1)="#",IF(ISNUMBER(C69),AND(ISNUMBER(B69),ABS(C69-B69)&lt;=0.000001*MAX(1,ABS(B69))),EXACT(C69&amp;"",B69&amp;"")))</f>
      </c>
      <c r="E69">
        <f>ISERROR(C69)</f>
      </c>
    </row>
    <row r="70">
      <c r="A70" t="str">
        <v>Z10</v>
      </c>
      <c r="B70">
        <v>120</v>
      </c>
      <c r="C70">
        <f>'toan11xs'!Z10</f>
      </c>
      <c r="D70">
        <f>IF(ISERROR(C70),LEFT(B70&amp;"",1)="#",IF(ISNUMBER(C70),AND(ISNUMBER(B70),ABS(C70-B70)&lt;=0.000001*MAX(1,ABS(B70))),EXACT(C70&amp;"",B70&amp;"")))</f>
      </c>
      <c r="E70">
        <f>ISERROR(C70)</f>
      </c>
    </row>
    <row r="71">
      <c r="A71" t="str">
        <v>Z11</v>
      </c>
      <c r="B71">
        <v>1</v>
      </c>
      <c r="C71">
        <f>'toan11xs'!Z11</f>
      </c>
      <c r="D71">
        <f>IF(ISERROR(C71),LEFT(B71&amp;"",1)="#",IF(ISNUMBER(C71),AND(ISNUMBER(B71),ABS(C71-B71)&lt;=0.000001*MAX(1,ABS(B71))),EXACT(C71&amp;"",B71&amp;"")))</f>
      </c>
      <c r="E71">
        <f>ISERROR(C71)</f>
      </c>
    </row>
    <row r="72">
      <c r="A72" t="str">
        <v>Z12</v>
      </c>
      <c r="B72">
        <v>120</v>
      </c>
      <c r="C72">
        <f>'toan11xs'!Z12</f>
      </c>
      <c r="D72">
        <f>IF(ISERROR(C72),LEFT(B72&amp;"",1)="#",IF(ISNUMBER(C72),AND(ISNUMBER(B72),ABS(C72-B72)&lt;=0.000001*MAX(1,ABS(B72))),EXACT(C72&amp;"",B72&amp;"")))</f>
      </c>
      <c r="E72">
        <f>ISERROR(C72)</f>
      </c>
    </row>
    <row r="73">
      <c r="A73" t="str">
        <v>Z13</v>
      </c>
      <c r="B73">
        <v>289</v>
      </c>
      <c r="C73">
        <f>'toan11xs'!Z13</f>
      </c>
      <c r="D73">
        <f>IF(ISERROR(C73),LEFT(B73&amp;"",1)="#",IF(ISNUMBER(C73),AND(ISNUMBER(B73),ABS(C73-B73)&lt;=0.000001*MAX(1,ABS(B73))),EXACT(C73&amp;"",B73&amp;"")))</f>
      </c>
      <c r="E73">
        <f>ISERROR(C73)</f>
      </c>
    </row>
  </sheetData>
  <ignoredErrors>
    <ignoredError numberStoredAsText="1" sqref="A1:E73"/>
  </ignoredErrors>
</worksheet>
</file>

<file path=xl/worksheets/sheet4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MaCL</v>
      </c>
      <c r="B1" t="str">
        <v>m</v>
      </c>
      <c r="C1" t="str">
        <v>k</v>
      </c>
      <c r="D1" t="str">
        <v>l</v>
      </c>
      <c r="E1" t="str">
        <v>A</v>
      </c>
      <c r="F1" t="str">
        <v>Omega</v>
      </c>
      <c r="G1" t="str">
        <v>TLo</v>
      </c>
      <c r="H1" t="str">
        <v>TDon</v>
      </c>
      <c r="I1" t="str">
        <v>VMax</v>
      </c>
      <c r="J1" t="str">
        <v>CoNang</v>
      </c>
      <c r="K1" t="str">
        <v>MucNL</v>
      </c>
      <c r="T1" t="str">
        <v>g</v>
      </c>
      <c r="U1">
        <v>9.8</v>
      </c>
      <c r="W1" t="str">
        <v>MucNL</v>
      </c>
      <c r="Y1" t="str">
        <v>TongHop</v>
      </c>
      <c r="Z1" t="str">
        <v>KetQua</v>
      </c>
    </row>
    <row r="2">
      <c r="A2" t="str">
        <v>CL01</v>
      </c>
      <c r="B2">
        <v>0.1</v>
      </c>
      <c r="C2">
        <v>200</v>
      </c>
      <c r="D2">
        <v>1.5</v>
      </c>
      <c r="E2">
        <v>10</v>
      </c>
      <c r="F2">
        <f>ROUND(SQRT(C2/B2),3)</f>
        <v>44.721</v>
      </c>
      <c r="G2">
        <f>ROUND(2*PI()*SQRT(B2/C2),3)</f>
        <v>0.14</v>
      </c>
      <c r="H2">
        <f>ROUND(2*PI()*SQRT(D2/$U$1),3)</f>
        <v>2.458</v>
      </c>
      <c r="I2">
        <f>ROUND(SQRT(C2/B2)*E2/100,3)</f>
        <v>4.472</v>
      </c>
      <c r="J2">
        <f>ROUND(0.5*C2*(E2/100)^2,4)</f>
        <v>1</v>
      </c>
      <c r="K2" t="str">
        <f>IF(J2&gt;=0.1,"LON","NHO")</f>
        <v>LON</v>
      </c>
      <c r="W2" t="str">
        <v>LON</v>
      </c>
      <c r="Y2" t="str">
        <v>Ma MaCL co VMax lon nhat</v>
      </c>
      <c r="Z2" t="str">
        <f>INDEX(A2:A13,MATCH(MAX(I2:I13),I2:I13,0))</f>
        <v>CL01</v>
      </c>
    </row>
    <row r="3">
      <c r="A3" t="str">
        <v>CL02</v>
      </c>
      <c r="B3">
        <v>0.25</v>
      </c>
      <c r="C3">
        <v>50</v>
      </c>
      <c r="D3">
        <v>0.25</v>
      </c>
      <c r="E3">
        <v>2</v>
      </c>
      <c r="F3">
        <f>ROUND(SQRT(C3/B3),3)</f>
        <v>14.142</v>
      </c>
      <c r="G3">
        <f>ROUND(2*PI()*SQRT(B3/C3),3)</f>
        <v>0.444</v>
      </c>
      <c r="H3">
        <f>ROUND(2*PI()*SQRT(D3/$U$1),3)</f>
        <v>1.004</v>
      </c>
      <c r="I3">
        <f>ROUND(SQRT(C3/B3)*E3/100,3)</f>
        <v>0.283</v>
      </c>
      <c r="J3">
        <f>ROUND(0.5*C3*(E3/100)^2,4)</f>
        <v>0.01</v>
      </c>
      <c r="K3" t="str">
        <f>IF(J3&gt;=0.1,"LON","NHO")</f>
        <v>NHO</v>
      </c>
      <c r="Y3" t="str">
        <v>Tong CoNang khi MucNL = LON</v>
      </c>
      <c r="Z3">
        <f>SUMIF(K2:K13,"LON",J2:J13)</f>
        <v>4.69</v>
      </c>
    </row>
    <row r="4">
      <c r="A4" t="str">
        <v>CL03</v>
      </c>
      <c r="B4">
        <v>0.2</v>
      </c>
      <c r="C4">
        <v>200</v>
      </c>
      <c r="D4">
        <v>0.25</v>
      </c>
      <c r="E4">
        <v>10</v>
      </c>
      <c r="F4">
        <f>ROUND(SQRT(C4/B4),3)</f>
        <v>31.623</v>
      </c>
      <c r="G4">
        <f>ROUND(2*PI()*SQRT(B4/C4),3)</f>
        <v>0.199</v>
      </c>
      <c r="H4">
        <f>ROUND(2*PI()*SQRT(D4/$U$1),3)</f>
        <v>1.004</v>
      </c>
      <c r="I4">
        <f>ROUND(SQRT(C4/B4)*E4/100,3)</f>
        <v>3.162</v>
      </c>
      <c r="J4">
        <f>ROUND(0.5*C4*(E4/100)^2,4)</f>
        <v>1</v>
      </c>
      <c r="K4" t="str">
        <f>IF(J4&gt;=0.1,"LON","NHO")</f>
        <v>LON</v>
      </c>
      <c r="Y4" t="str">
        <v>So dong MucNL = NHO, A &gt;=5</v>
      </c>
      <c r="Z4">
        <f>COUNTIFS(K2:K13,"NHO",E2:E13,"&gt;=5")</f>
        <v>0</v>
      </c>
    </row>
    <row r="5">
      <c r="A5" t="str">
        <v>CL04</v>
      </c>
      <c r="B5">
        <v>0.2</v>
      </c>
      <c r="C5">
        <v>100</v>
      </c>
      <c r="D5">
        <v>1.5</v>
      </c>
      <c r="E5">
        <v>4</v>
      </c>
      <c r="F5">
        <f>ROUND(SQRT(C5/B5),3)</f>
        <v>22.361</v>
      </c>
      <c r="G5">
        <f>ROUND(2*PI()*SQRT(B5/C5),3)</f>
        <v>0.281</v>
      </c>
      <c r="H5">
        <f>ROUND(2*PI()*SQRT(D5/$U$1),3)</f>
        <v>2.458</v>
      </c>
      <c r="I5">
        <f>ROUND(SQRT(C5/B5)*E5/100,3)</f>
        <v>0.894</v>
      </c>
      <c r="J5">
        <f>ROUND(0.5*C5*(E5/100)^2,4)</f>
        <v>0.08</v>
      </c>
      <c r="K5" t="str">
        <f>IF(J5&gt;=0.1,"LON","NHO")</f>
        <v>NHO</v>
      </c>
      <c r="Y5" t="str">
        <v>TLo trung binh khi MucNL = LON</v>
      </c>
      <c r="Z5">
        <f>AVERAGEIF(K2:K13,"LON",G2:G13)</f>
        <v>0.2518571428571429</v>
      </c>
    </row>
    <row r="6">
      <c r="A6" t="str">
        <v>CL05</v>
      </c>
      <c r="B6">
        <v>0.25</v>
      </c>
      <c r="C6">
        <v>200</v>
      </c>
      <c r="D6">
        <v>1.5</v>
      </c>
      <c r="E6">
        <v>10</v>
      </c>
      <c r="F6">
        <f>ROUND(SQRT(C6/B6),3)</f>
        <v>28.284</v>
      </c>
      <c r="G6">
        <f>ROUND(2*PI()*SQRT(B6/C6),3)</f>
        <v>0.222</v>
      </c>
      <c r="H6">
        <f>ROUND(2*PI()*SQRT(D6/$U$1),3)</f>
        <v>2.458</v>
      </c>
      <c r="I6">
        <f>ROUND(SQRT(C6/B6)*E6/100,3)</f>
        <v>2.828</v>
      </c>
      <c r="J6">
        <f>ROUND(0.5*C6*(E6/100)^2,4)</f>
        <v>1</v>
      </c>
      <c r="K6" t="str">
        <f>IF(J6&gt;=0.1,"LON","NHO")</f>
        <v>LON</v>
      </c>
      <c r="Y6" t="str">
        <v>VMax lon nhat khi MucNL = NHO</v>
      </c>
      <c r="Z6">
        <f>_xlfn.MAXIFS(I2:I13,K2:K13,"NHO")</f>
        <v>0.894</v>
      </c>
    </row>
    <row r="7">
      <c r="A7" t="str">
        <v>CL06</v>
      </c>
      <c r="B7">
        <v>0.2</v>
      </c>
      <c r="C7">
        <v>100</v>
      </c>
      <c r="D7">
        <v>2</v>
      </c>
      <c r="E7">
        <v>4</v>
      </c>
      <c r="F7">
        <f>ROUND(SQRT(C7/B7),3)</f>
        <v>22.361</v>
      </c>
      <c r="G7">
        <f>ROUND(2*PI()*SQRT(B7/C7),3)</f>
        <v>0.281</v>
      </c>
      <c r="H7">
        <f>ROUND(2*PI()*SQRT(D7/$U$1),3)</f>
        <v>2.838</v>
      </c>
      <c r="I7">
        <f>ROUND(SQRT(C7/B7)*E7/100,3)</f>
        <v>0.894</v>
      </c>
      <c r="J7">
        <f>ROUND(0.5*C7*(E7/100)^2,4)</f>
        <v>0.08</v>
      </c>
      <c r="K7" t="str">
        <f>IF(J7&gt;=0.1,"LON","NHO")</f>
        <v>NHO</v>
      </c>
      <c r="Y7" t="str">
        <v>TLo trung vi</v>
      </c>
      <c r="Z7">
        <f>MEDIAN(G2:G13)</f>
        <v>0.281</v>
      </c>
    </row>
    <row r="8">
      <c r="A8" t="str">
        <v>CL07</v>
      </c>
      <c r="B8">
        <v>1</v>
      </c>
      <c r="C8">
        <v>200</v>
      </c>
      <c r="D8">
        <v>0.5</v>
      </c>
      <c r="E8">
        <v>5</v>
      </c>
      <c r="F8">
        <f>ROUND(SQRT(C8/B8),3)</f>
        <v>14.142</v>
      </c>
      <c r="G8">
        <f>ROUND(2*PI()*SQRT(B8/C8),3)</f>
        <v>0.444</v>
      </c>
      <c r="H8">
        <f>ROUND(2*PI()*SQRT(D8/$U$1),3)</f>
        <v>1.419</v>
      </c>
      <c r="I8">
        <f>ROUND(SQRT(C8/B8)*E8/100,3)</f>
        <v>0.707</v>
      </c>
      <c r="J8">
        <f>ROUND(0.5*C8*(E8/100)^2,4)</f>
        <v>0.25</v>
      </c>
      <c r="K8" t="str">
        <f>IF(J8&gt;=0.1,"LON","NHO")</f>
        <v>LON</v>
      </c>
      <c r="Y8" t="str">
        <v>TLo lon thu hai</v>
      </c>
      <c r="Z8">
        <f>LARGE(G2:G13,2)</f>
        <v>0.444</v>
      </c>
    </row>
    <row r="9">
      <c r="A9" t="str">
        <v>CL08</v>
      </c>
      <c r="B9">
        <v>0.2</v>
      </c>
      <c r="C9">
        <v>80</v>
      </c>
      <c r="D9">
        <v>0.25</v>
      </c>
      <c r="E9">
        <v>4</v>
      </c>
      <c r="F9">
        <f>ROUND(SQRT(C9/B9),3)</f>
        <v>20</v>
      </c>
      <c r="G9">
        <f>ROUND(2*PI()*SQRT(B9/C9),3)</f>
        <v>0.314</v>
      </c>
      <c r="H9">
        <f>ROUND(2*PI()*SQRT(D9/$U$1),3)</f>
        <v>1.004</v>
      </c>
      <c r="I9">
        <f>ROUND(SQRT(C9/B9)*E9/100,3)</f>
        <v>0.8</v>
      </c>
      <c r="J9">
        <f>ROUND(0.5*C9*(E9/100)^2,4)</f>
        <v>0.064</v>
      </c>
      <c r="K9" t="str">
        <f>IF(J9&gt;=0.1,"LON","NHO")</f>
        <v>NHO</v>
      </c>
      <c r="Y9" t="str">
        <v>Do lech chuan Omega</v>
      </c>
      <c r="Z9">
        <f>ROUND(STDEV(F2:F13),2)</f>
        <v>9.39</v>
      </c>
    </row>
    <row r="10">
      <c r="A10" t="str">
        <v>CL09</v>
      </c>
      <c r="B10">
        <v>0.25</v>
      </c>
      <c r="C10">
        <v>200</v>
      </c>
      <c r="D10">
        <v>2</v>
      </c>
      <c r="E10">
        <v>8</v>
      </c>
      <c r="F10">
        <f>ROUND(SQRT(C10/B10),3)</f>
        <v>28.284</v>
      </c>
      <c r="G10">
        <f>ROUND(2*PI()*SQRT(B10/C10),3)</f>
        <v>0.222</v>
      </c>
      <c r="H10">
        <f>ROUND(2*PI()*SQRT(D10/$U$1),3)</f>
        <v>2.838</v>
      </c>
      <c r="I10">
        <f>ROUND(SQRT(C10/B10)*E10/100,3)</f>
        <v>2.263</v>
      </c>
      <c r="J10">
        <f>ROUND(0.5*C10*(E10/100)^2,4)</f>
        <v>0.64</v>
      </c>
      <c r="K10" t="str">
        <f>IF(J10&gt;=0.1,"LON","NHO")</f>
        <v>LON</v>
      </c>
      <c r="Y10" t="str">
        <v>Tong CoNang theo tieu chi W1:W2</v>
      </c>
      <c r="Z10">
        <f>DSUM(A1:K13,"CoNang",W1:W2)</f>
        <v>4.69</v>
      </c>
    </row>
    <row r="11">
      <c r="A11" t="str">
        <v>CL10</v>
      </c>
      <c r="B11">
        <v>0.5</v>
      </c>
      <c r="C11">
        <v>200</v>
      </c>
      <c r="D11">
        <v>2</v>
      </c>
      <c r="E11">
        <v>8</v>
      </c>
      <c r="F11">
        <f>ROUND(SQRT(C11/B11),3)</f>
        <v>20</v>
      </c>
      <c r="G11">
        <f>ROUND(2*PI()*SQRT(B11/C11),3)</f>
        <v>0.314</v>
      </c>
      <c r="H11">
        <f>ROUND(2*PI()*SQRT(D11/$U$1),3)</f>
        <v>2.838</v>
      </c>
      <c r="I11">
        <f>ROUND(SQRT(C11/B11)*E11/100,3)</f>
        <v>1.6</v>
      </c>
      <c r="J11">
        <f>ROUND(0.5*C11*(E11/100)^2,4)</f>
        <v>0.64</v>
      </c>
      <c r="K11" t="str">
        <f>IF(J11&gt;=0.1,"LON","NHO")</f>
        <v>LON</v>
      </c>
      <c r="Y11" t="str">
        <v>So dong theo tieu chi W1:W2</v>
      </c>
      <c r="Z11">
        <f>DCOUNT(A1:K13,"CoNang",W1:W2)</f>
        <v>7</v>
      </c>
    </row>
    <row r="12">
      <c r="A12" t="str">
        <v>CL11</v>
      </c>
      <c r="B12">
        <v>0.25</v>
      </c>
      <c r="C12">
        <v>200</v>
      </c>
      <c r="D12">
        <v>0.5</v>
      </c>
      <c r="E12">
        <v>4</v>
      </c>
      <c r="F12">
        <f>ROUND(SQRT(C12/B12),3)</f>
        <v>28.284</v>
      </c>
      <c r="G12">
        <f>ROUND(2*PI()*SQRT(B12/C12),3)</f>
        <v>0.222</v>
      </c>
      <c r="H12">
        <f>ROUND(2*PI()*SQRT(D12/$U$1),3)</f>
        <v>1.419</v>
      </c>
      <c r="I12">
        <f>ROUND(SQRT(C12/B12)*E12/100,3)</f>
        <v>1.131</v>
      </c>
      <c r="J12">
        <f>ROUND(0.5*C12*(E12/100)^2,4)</f>
        <v>0.16</v>
      </c>
      <c r="K12" t="str">
        <f>IF(J12&gt;=0.1,"LON","NHO")</f>
        <v>LON</v>
      </c>
      <c r="Y12" t="str">
        <v>Tong CoNang khi MucNL = LON (SUMPRODUCT)</v>
      </c>
      <c r="Z12">
        <f>SUMPRODUCT((K2:K13="LON")*J2:J13)</f>
        <v>4.69</v>
      </c>
    </row>
    <row r="13">
      <c r="A13" t="str">
        <v>CL12</v>
      </c>
      <c r="B13">
        <v>0.2</v>
      </c>
      <c r="C13">
        <v>20</v>
      </c>
      <c r="D13">
        <v>1.5</v>
      </c>
      <c r="E13">
        <v>2</v>
      </c>
      <c r="F13">
        <f>ROUND(SQRT(C13/B13),3)</f>
        <v>10</v>
      </c>
      <c r="G13">
        <f>ROUND(2*PI()*SQRT(B13/C13),3)</f>
        <v>0.628</v>
      </c>
      <c r="H13">
        <f>ROUND(2*PI()*SQRT(D13/$U$1),3)</f>
        <v>2.458</v>
      </c>
      <c r="I13">
        <f>ROUND(SQRT(C13/B13)*E13/100,3)</f>
        <v>0.2</v>
      </c>
      <c r="J13">
        <f>ROUND(0.5*C13*(E13/100)^2,4)</f>
        <v>0.004</v>
      </c>
      <c r="K13" t="str">
        <f>IF(J13&gt;=0.1,"LON","NHO")</f>
        <v>NHO</v>
      </c>
      <c r="Y13" t="str">
        <v>Tong m x k</v>
      </c>
      <c r="Z13">
        <f>SUMPRODUCT(B2:B13,C2:C13)</f>
        <v>582.5</v>
      </c>
    </row>
  </sheetData>
  <ignoredErrors>
    <ignoredError numberStoredAsText="1" sqref="A1:Z13"/>
  </ignoredErrors>
</worksheet>
</file>

<file path=xl/worksheets/sheet49.xml><?xml version="1.0" encoding="utf-8"?>
<worksheet xmlns="http://schemas.openxmlformats.org/spreadsheetml/2006/main" xmlns:r="http://schemas.openxmlformats.org/officeDocument/2006/relationships">
  <dimension ref="A1:E85"/>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44.721</v>
      </c>
      <c r="C2">
        <f>'ly11'!F2</f>
      </c>
      <c r="D2">
        <f>IF(ISERROR(C2),LEFT(B2&amp;"",1)="#",IF(ISNUMBER(C2),AND(ISNUMBER(B2),ABS(C2-B2)&lt;=0.000001*MAX(1,ABS(B2))),EXACT(C2&amp;"",B2&amp;"")))</f>
      </c>
      <c r="E2">
        <f>ISERROR(C2)</f>
      </c>
    </row>
    <row r="3">
      <c r="A3" t="str">
        <v>F3</v>
      </c>
      <c r="B3">
        <v>14.142</v>
      </c>
      <c r="C3">
        <f>'ly11'!F3</f>
      </c>
      <c r="D3">
        <f>IF(ISERROR(C3),LEFT(B3&amp;"",1)="#",IF(ISNUMBER(C3),AND(ISNUMBER(B3),ABS(C3-B3)&lt;=0.000001*MAX(1,ABS(B3))),EXACT(C3&amp;"",B3&amp;"")))</f>
      </c>
      <c r="E3">
        <f>ISERROR(C3)</f>
      </c>
    </row>
    <row r="4">
      <c r="A4" t="str">
        <v>F4</v>
      </c>
      <c r="B4">
        <v>31.623</v>
      </c>
      <c r="C4">
        <f>'ly11'!F4</f>
      </c>
      <c r="D4">
        <f>IF(ISERROR(C4),LEFT(B4&amp;"",1)="#",IF(ISNUMBER(C4),AND(ISNUMBER(B4),ABS(C4-B4)&lt;=0.000001*MAX(1,ABS(B4))),EXACT(C4&amp;"",B4&amp;"")))</f>
      </c>
      <c r="E4">
        <f>ISERROR(C4)</f>
      </c>
    </row>
    <row r="5">
      <c r="A5" t="str">
        <v>F5</v>
      </c>
      <c r="B5">
        <v>22.361</v>
      </c>
      <c r="C5">
        <f>'ly11'!F5</f>
      </c>
      <c r="D5">
        <f>IF(ISERROR(C5),LEFT(B5&amp;"",1)="#",IF(ISNUMBER(C5),AND(ISNUMBER(B5),ABS(C5-B5)&lt;=0.000001*MAX(1,ABS(B5))),EXACT(C5&amp;"",B5&amp;"")))</f>
      </c>
      <c r="E5">
        <f>ISERROR(C5)</f>
      </c>
    </row>
    <row r="6">
      <c r="A6" t="str">
        <v>F6</v>
      </c>
      <c r="B6">
        <v>28.284</v>
      </c>
      <c r="C6">
        <f>'ly11'!F6</f>
      </c>
      <c r="D6">
        <f>IF(ISERROR(C6),LEFT(B6&amp;"",1)="#",IF(ISNUMBER(C6),AND(ISNUMBER(B6),ABS(C6-B6)&lt;=0.000001*MAX(1,ABS(B6))),EXACT(C6&amp;"",B6&amp;"")))</f>
      </c>
      <c r="E6">
        <f>ISERROR(C6)</f>
      </c>
    </row>
    <row r="7">
      <c r="A7" t="str">
        <v>F7</v>
      </c>
      <c r="B7">
        <v>22.361</v>
      </c>
      <c r="C7">
        <f>'ly11'!F7</f>
      </c>
      <c r="D7">
        <f>IF(ISERROR(C7),LEFT(B7&amp;"",1)="#",IF(ISNUMBER(C7),AND(ISNUMBER(B7),ABS(C7-B7)&lt;=0.000001*MAX(1,ABS(B7))),EXACT(C7&amp;"",B7&amp;"")))</f>
      </c>
      <c r="E7">
        <f>ISERROR(C7)</f>
      </c>
    </row>
    <row r="8">
      <c r="A8" t="str">
        <v>F8</v>
      </c>
      <c r="B8">
        <v>14.142</v>
      </c>
      <c r="C8">
        <f>'ly11'!F8</f>
      </c>
      <c r="D8">
        <f>IF(ISERROR(C8),LEFT(B8&amp;"",1)="#",IF(ISNUMBER(C8),AND(ISNUMBER(B8),ABS(C8-B8)&lt;=0.000001*MAX(1,ABS(B8))),EXACT(C8&amp;"",B8&amp;"")))</f>
      </c>
      <c r="E8">
        <f>ISERROR(C8)</f>
      </c>
    </row>
    <row r="9">
      <c r="A9" t="str">
        <v>F9</v>
      </c>
      <c r="B9">
        <v>20</v>
      </c>
      <c r="C9">
        <f>'ly11'!F9</f>
      </c>
      <c r="D9">
        <f>IF(ISERROR(C9),LEFT(B9&amp;"",1)="#",IF(ISNUMBER(C9),AND(ISNUMBER(B9),ABS(C9-B9)&lt;=0.000001*MAX(1,ABS(B9))),EXACT(C9&amp;"",B9&amp;"")))</f>
      </c>
      <c r="E9">
        <f>ISERROR(C9)</f>
      </c>
    </row>
    <row r="10">
      <c r="A10" t="str">
        <v>F10</v>
      </c>
      <c r="B10">
        <v>28.284</v>
      </c>
      <c r="C10">
        <f>'ly11'!F10</f>
      </c>
      <c r="D10">
        <f>IF(ISERROR(C10),LEFT(B10&amp;"",1)="#",IF(ISNUMBER(C10),AND(ISNUMBER(B10),ABS(C10-B10)&lt;=0.000001*MAX(1,ABS(B10))),EXACT(C10&amp;"",B10&amp;"")))</f>
      </c>
      <c r="E10">
        <f>ISERROR(C10)</f>
      </c>
    </row>
    <row r="11">
      <c r="A11" t="str">
        <v>F11</v>
      </c>
      <c r="B11">
        <v>20</v>
      </c>
      <c r="C11">
        <f>'ly11'!F11</f>
      </c>
      <c r="D11">
        <f>IF(ISERROR(C11),LEFT(B11&amp;"",1)="#",IF(ISNUMBER(C11),AND(ISNUMBER(B11),ABS(C11-B11)&lt;=0.000001*MAX(1,ABS(B11))),EXACT(C11&amp;"",B11&amp;"")))</f>
      </c>
      <c r="E11">
        <f>ISERROR(C11)</f>
      </c>
    </row>
    <row r="12">
      <c r="A12" t="str">
        <v>F12</v>
      </c>
      <c r="B12">
        <v>28.284</v>
      </c>
      <c r="C12">
        <f>'ly11'!F12</f>
      </c>
      <c r="D12">
        <f>IF(ISERROR(C12),LEFT(B12&amp;"",1)="#",IF(ISNUMBER(C12),AND(ISNUMBER(B12),ABS(C12-B12)&lt;=0.000001*MAX(1,ABS(B12))),EXACT(C12&amp;"",B12&amp;"")))</f>
      </c>
      <c r="E12">
        <f>ISERROR(C12)</f>
      </c>
    </row>
    <row r="13">
      <c r="A13" t="str">
        <v>F13</v>
      </c>
      <c r="B13">
        <v>10</v>
      </c>
      <c r="C13">
        <f>'ly11'!F13</f>
      </c>
      <c r="D13">
        <f>IF(ISERROR(C13),LEFT(B13&amp;"",1)="#",IF(ISNUMBER(C13),AND(ISNUMBER(B13),ABS(C13-B13)&lt;=0.000001*MAX(1,ABS(B13))),EXACT(C13&amp;"",B13&amp;"")))</f>
      </c>
      <c r="E13">
        <f>ISERROR(C13)</f>
      </c>
    </row>
    <row r="14">
      <c r="A14" t="str">
        <v>G2</v>
      </c>
      <c r="B14">
        <v>0.14</v>
      </c>
      <c r="C14">
        <f>'ly11'!G2</f>
      </c>
      <c r="D14">
        <f>IF(ISERROR(C14),LEFT(B14&amp;"",1)="#",IF(ISNUMBER(C14),AND(ISNUMBER(B14),ABS(C14-B14)&lt;=0.000001*MAX(1,ABS(B14))),EXACT(C14&amp;"",B14&amp;"")))</f>
      </c>
      <c r="E14">
        <f>ISERROR(C14)</f>
      </c>
    </row>
    <row r="15">
      <c r="A15" t="str">
        <v>G3</v>
      </c>
      <c r="B15">
        <v>0.444</v>
      </c>
      <c r="C15">
        <f>'ly11'!G3</f>
      </c>
      <c r="D15">
        <f>IF(ISERROR(C15),LEFT(B15&amp;"",1)="#",IF(ISNUMBER(C15),AND(ISNUMBER(B15),ABS(C15-B15)&lt;=0.000001*MAX(1,ABS(B15))),EXACT(C15&amp;"",B15&amp;"")))</f>
      </c>
      <c r="E15">
        <f>ISERROR(C15)</f>
      </c>
    </row>
    <row r="16">
      <c r="A16" t="str">
        <v>G4</v>
      </c>
      <c r="B16">
        <v>0.199</v>
      </c>
      <c r="C16">
        <f>'ly11'!G4</f>
      </c>
      <c r="D16">
        <f>IF(ISERROR(C16),LEFT(B16&amp;"",1)="#",IF(ISNUMBER(C16),AND(ISNUMBER(B16),ABS(C16-B16)&lt;=0.000001*MAX(1,ABS(B16))),EXACT(C16&amp;"",B16&amp;"")))</f>
      </c>
      <c r="E16">
        <f>ISERROR(C16)</f>
      </c>
    </row>
    <row r="17">
      <c r="A17" t="str">
        <v>G5</v>
      </c>
      <c r="B17">
        <v>0.281</v>
      </c>
      <c r="C17">
        <f>'ly11'!G5</f>
      </c>
      <c r="D17">
        <f>IF(ISERROR(C17),LEFT(B17&amp;"",1)="#",IF(ISNUMBER(C17),AND(ISNUMBER(B17),ABS(C17-B17)&lt;=0.000001*MAX(1,ABS(B17))),EXACT(C17&amp;"",B17&amp;"")))</f>
      </c>
      <c r="E17">
        <f>ISERROR(C17)</f>
      </c>
    </row>
    <row r="18">
      <c r="A18" t="str">
        <v>G6</v>
      </c>
      <c r="B18">
        <v>0.222</v>
      </c>
      <c r="C18">
        <f>'ly11'!G6</f>
      </c>
      <c r="D18">
        <f>IF(ISERROR(C18),LEFT(B18&amp;"",1)="#",IF(ISNUMBER(C18),AND(ISNUMBER(B18),ABS(C18-B18)&lt;=0.000001*MAX(1,ABS(B18))),EXACT(C18&amp;"",B18&amp;"")))</f>
      </c>
      <c r="E18">
        <f>ISERROR(C18)</f>
      </c>
    </row>
    <row r="19">
      <c r="A19" t="str">
        <v>G7</v>
      </c>
      <c r="B19">
        <v>0.281</v>
      </c>
      <c r="C19">
        <f>'ly11'!G7</f>
      </c>
      <c r="D19">
        <f>IF(ISERROR(C19),LEFT(B19&amp;"",1)="#",IF(ISNUMBER(C19),AND(ISNUMBER(B19),ABS(C19-B19)&lt;=0.000001*MAX(1,ABS(B19))),EXACT(C19&amp;"",B19&amp;"")))</f>
      </c>
      <c r="E19">
        <f>ISERROR(C19)</f>
      </c>
    </row>
    <row r="20">
      <c r="A20" t="str">
        <v>G8</v>
      </c>
      <c r="B20">
        <v>0.444</v>
      </c>
      <c r="C20">
        <f>'ly11'!G8</f>
      </c>
      <c r="D20">
        <f>IF(ISERROR(C20),LEFT(B20&amp;"",1)="#",IF(ISNUMBER(C20),AND(ISNUMBER(B20),ABS(C20-B20)&lt;=0.000001*MAX(1,ABS(B20))),EXACT(C20&amp;"",B20&amp;"")))</f>
      </c>
      <c r="E20">
        <f>ISERROR(C20)</f>
      </c>
    </row>
    <row r="21">
      <c r="A21" t="str">
        <v>G9</v>
      </c>
      <c r="B21">
        <v>0.314</v>
      </c>
      <c r="C21">
        <f>'ly11'!G9</f>
      </c>
      <c r="D21">
        <f>IF(ISERROR(C21),LEFT(B21&amp;"",1)="#",IF(ISNUMBER(C21),AND(ISNUMBER(B21),ABS(C21-B21)&lt;=0.000001*MAX(1,ABS(B21))),EXACT(C21&amp;"",B21&amp;"")))</f>
      </c>
      <c r="E21">
        <f>ISERROR(C21)</f>
      </c>
    </row>
    <row r="22">
      <c r="A22" t="str">
        <v>G10</v>
      </c>
      <c r="B22">
        <v>0.222</v>
      </c>
      <c r="C22">
        <f>'ly11'!G10</f>
      </c>
      <c r="D22">
        <f>IF(ISERROR(C22),LEFT(B22&amp;"",1)="#",IF(ISNUMBER(C22),AND(ISNUMBER(B22),ABS(C22-B22)&lt;=0.000001*MAX(1,ABS(B22))),EXACT(C22&amp;"",B22&amp;"")))</f>
      </c>
      <c r="E22">
        <f>ISERROR(C22)</f>
      </c>
    </row>
    <row r="23">
      <c r="A23" t="str">
        <v>G11</v>
      </c>
      <c r="B23">
        <v>0.314</v>
      </c>
      <c r="C23">
        <f>'ly11'!G11</f>
      </c>
      <c r="D23">
        <f>IF(ISERROR(C23),LEFT(B23&amp;"",1)="#",IF(ISNUMBER(C23),AND(ISNUMBER(B23),ABS(C23-B23)&lt;=0.000001*MAX(1,ABS(B23))),EXACT(C23&amp;"",B23&amp;"")))</f>
      </c>
      <c r="E23">
        <f>ISERROR(C23)</f>
      </c>
    </row>
    <row r="24">
      <c r="A24" t="str">
        <v>G12</v>
      </c>
      <c r="B24">
        <v>0.222</v>
      </c>
      <c r="C24">
        <f>'ly11'!G12</f>
      </c>
      <c r="D24">
        <f>IF(ISERROR(C24),LEFT(B24&amp;"",1)="#",IF(ISNUMBER(C24),AND(ISNUMBER(B24),ABS(C24-B24)&lt;=0.000001*MAX(1,ABS(B24))),EXACT(C24&amp;"",B24&amp;"")))</f>
      </c>
      <c r="E24">
        <f>ISERROR(C24)</f>
      </c>
    </row>
    <row r="25">
      <c r="A25" t="str">
        <v>G13</v>
      </c>
      <c r="B25">
        <v>0.628</v>
      </c>
      <c r="C25">
        <f>'ly11'!G13</f>
      </c>
      <c r="D25">
        <f>IF(ISERROR(C25),LEFT(B25&amp;"",1)="#",IF(ISNUMBER(C25),AND(ISNUMBER(B25),ABS(C25-B25)&lt;=0.000001*MAX(1,ABS(B25))),EXACT(C25&amp;"",B25&amp;"")))</f>
      </c>
      <c r="E25">
        <f>ISERROR(C25)</f>
      </c>
    </row>
    <row r="26">
      <c r="A26" t="str">
        <v>H2</v>
      </c>
      <c r="B26">
        <v>2.458</v>
      </c>
      <c r="C26">
        <f>'ly11'!H2</f>
      </c>
      <c r="D26">
        <f>IF(ISERROR(C26),LEFT(B26&amp;"",1)="#",IF(ISNUMBER(C26),AND(ISNUMBER(B26),ABS(C26-B26)&lt;=0.000001*MAX(1,ABS(B26))),EXACT(C26&amp;"",B26&amp;"")))</f>
      </c>
      <c r="E26">
        <f>ISERROR(C26)</f>
      </c>
    </row>
    <row r="27">
      <c r="A27" t="str">
        <v>H3</v>
      </c>
      <c r="B27">
        <v>1.004</v>
      </c>
      <c r="C27">
        <f>'ly11'!H3</f>
      </c>
      <c r="D27">
        <f>IF(ISERROR(C27),LEFT(B27&amp;"",1)="#",IF(ISNUMBER(C27),AND(ISNUMBER(B27),ABS(C27-B27)&lt;=0.000001*MAX(1,ABS(B27))),EXACT(C27&amp;"",B27&amp;"")))</f>
      </c>
      <c r="E27">
        <f>ISERROR(C27)</f>
      </c>
    </row>
    <row r="28">
      <c r="A28" t="str">
        <v>H4</v>
      </c>
      <c r="B28">
        <v>1.004</v>
      </c>
      <c r="C28">
        <f>'ly11'!H4</f>
      </c>
      <c r="D28">
        <f>IF(ISERROR(C28),LEFT(B28&amp;"",1)="#",IF(ISNUMBER(C28),AND(ISNUMBER(B28),ABS(C28-B28)&lt;=0.000001*MAX(1,ABS(B28))),EXACT(C28&amp;"",B28&amp;"")))</f>
      </c>
      <c r="E28">
        <f>ISERROR(C28)</f>
      </c>
    </row>
    <row r="29">
      <c r="A29" t="str">
        <v>H5</v>
      </c>
      <c r="B29">
        <v>2.458</v>
      </c>
      <c r="C29">
        <f>'ly11'!H5</f>
      </c>
      <c r="D29">
        <f>IF(ISERROR(C29),LEFT(B29&amp;"",1)="#",IF(ISNUMBER(C29),AND(ISNUMBER(B29),ABS(C29-B29)&lt;=0.000001*MAX(1,ABS(B29))),EXACT(C29&amp;"",B29&amp;"")))</f>
      </c>
      <c r="E29">
        <f>ISERROR(C29)</f>
      </c>
    </row>
    <row r="30">
      <c r="A30" t="str">
        <v>H6</v>
      </c>
      <c r="B30">
        <v>2.458</v>
      </c>
      <c r="C30">
        <f>'ly11'!H6</f>
      </c>
      <c r="D30">
        <f>IF(ISERROR(C30),LEFT(B30&amp;"",1)="#",IF(ISNUMBER(C30),AND(ISNUMBER(B30),ABS(C30-B30)&lt;=0.000001*MAX(1,ABS(B30))),EXACT(C30&amp;"",B30&amp;"")))</f>
      </c>
      <c r="E30">
        <f>ISERROR(C30)</f>
      </c>
    </row>
    <row r="31">
      <c r="A31" t="str">
        <v>H7</v>
      </c>
      <c r="B31">
        <v>2.838</v>
      </c>
      <c r="C31">
        <f>'ly11'!H7</f>
      </c>
      <c r="D31">
        <f>IF(ISERROR(C31),LEFT(B31&amp;"",1)="#",IF(ISNUMBER(C31),AND(ISNUMBER(B31),ABS(C31-B31)&lt;=0.000001*MAX(1,ABS(B31))),EXACT(C31&amp;"",B31&amp;"")))</f>
      </c>
      <c r="E31">
        <f>ISERROR(C31)</f>
      </c>
    </row>
    <row r="32">
      <c r="A32" t="str">
        <v>H8</v>
      </c>
      <c r="B32">
        <v>1.419</v>
      </c>
      <c r="C32">
        <f>'ly11'!H8</f>
      </c>
      <c r="D32">
        <f>IF(ISERROR(C32),LEFT(B32&amp;"",1)="#",IF(ISNUMBER(C32),AND(ISNUMBER(B32),ABS(C32-B32)&lt;=0.000001*MAX(1,ABS(B32))),EXACT(C32&amp;"",B32&amp;"")))</f>
      </c>
      <c r="E32">
        <f>ISERROR(C32)</f>
      </c>
    </row>
    <row r="33">
      <c r="A33" t="str">
        <v>H9</v>
      </c>
      <c r="B33">
        <v>1.004</v>
      </c>
      <c r="C33">
        <f>'ly11'!H9</f>
      </c>
      <c r="D33">
        <f>IF(ISERROR(C33),LEFT(B33&amp;"",1)="#",IF(ISNUMBER(C33),AND(ISNUMBER(B33),ABS(C33-B33)&lt;=0.000001*MAX(1,ABS(B33))),EXACT(C33&amp;"",B33&amp;"")))</f>
      </c>
      <c r="E33">
        <f>ISERROR(C33)</f>
      </c>
    </row>
    <row r="34">
      <c r="A34" t="str">
        <v>H10</v>
      </c>
      <c r="B34">
        <v>2.838</v>
      </c>
      <c r="C34">
        <f>'ly11'!H10</f>
      </c>
      <c r="D34">
        <f>IF(ISERROR(C34),LEFT(B34&amp;"",1)="#",IF(ISNUMBER(C34),AND(ISNUMBER(B34),ABS(C34-B34)&lt;=0.000001*MAX(1,ABS(B34))),EXACT(C34&amp;"",B34&amp;"")))</f>
      </c>
      <c r="E34">
        <f>ISERROR(C34)</f>
      </c>
    </row>
    <row r="35">
      <c r="A35" t="str">
        <v>H11</v>
      </c>
      <c r="B35">
        <v>2.838</v>
      </c>
      <c r="C35">
        <f>'ly11'!H11</f>
      </c>
      <c r="D35">
        <f>IF(ISERROR(C35),LEFT(B35&amp;"",1)="#",IF(ISNUMBER(C35),AND(ISNUMBER(B35),ABS(C35-B35)&lt;=0.000001*MAX(1,ABS(B35))),EXACT(C35&amp;"",B35&amp;"")))</f>
      </c>
      <c r="E35">
        <f>ISERROR(C35)</f>
      </c>
    </row>
    <row r="36">
      <c r="A36" t="str">
        <v>H12</v>
      </c>
      <c r="B36">
        <v>1.419</v>
      </c>
      <c r="C36">
        <f>'ly11'!H12</f>
      </c>
      <c r="D36">
        <f>IF(ISERROR(C36),LEFT(B36&amp;"",1)="#",IF(ISNUMBER(C36),AND(ISNUMBER(B36),ABS(C36-B36)&lt;=0.000001*MAX(1,ABS(B36))),EXACT(C36&amp;"",B36&amp;"")))</f>
      </c>
      <c r="E36">
        <f>ISERROR(C36)</f>
      </c>
    </row>
    <row r="37">
      <c r="A37" t="str">
        <v>H13</v>
      </c>
      <c r="B37">
        <v>2.458</v>
      </c>
      <c r="C37">
        <f>'ly11'!H13</f>
      </c>
      <c r="D37">
        <f>IF(ISERROR(C37),LEFT(B37&amp;"",1)="#",IF(ISNUMBER(C37),AND(ISNUMBER(B37),ABS(C37-B37)&lt;=0.000001*MAX(1,ABS(B37))),EXACT(C37&amp;"",B37&amp;"")))</f>
      </c>
      <c r="E37">
        <f>ISERROR(C37)</f>
      </c>
    </row>
    <row r="38">
      <c r="A38" t="str">
        <v>I2</v>
      </c>
      <c r="B38">
        <v>4.472</v>
      </c>
      <c r="C38">
        <f>'ly11'!I2</f>
      </c>
      <c r="D38">
        <f>IF(ISERROR(C38),LEFT(B38&amp;"",1)="#",IF(ISNUMBER(C38),AND(ISNUMBER(B38),ABS(C38-B38)&lt;=0.000001*MAX(1,ABS(B38))),EXACT(C38&amp;"",B38&amp;"")))</f>
      </c>
      <c r="E38">
        <f>ISERROR(C38)</f>
      </c>
    </row>
    <row r="39">
      <c r="A39" t="str">
        <v>I3</v>
      </c>
      <c r="B39">
        <v>0.283</v>
      </c>
      <c r="C39">
        <f>'ly11'!I3</f>
      </c>
      <c r="D39">
        <f>IF(ISERROR(C39),LEFT(B39&amp;"",1)="#",IF(ISNUMBER(C39),AND(ISNUMBER(B39),ABS(C39-B39)&lt;=0.000001*MAX(1,ABS(B39))),EXACT(C39&amp;"",B39&amp;"")))</f>
      </c>
      <c r="E39">
        <f>ISERROR(C39)</f>
      </c>
    </row>
    <row r="40">
      <c r="A40" t="str">
        <v>I4</v>
      </c>
      <c r="B40">
        <v>3.162</v>
      </c>
      <c r="C40">
        <f>'ly11'!I4</f>
      </c>
      <c r="D40">
        <f>IF(ISERROR(C40),LEFT(B40&amp;"",1)="#",IF(ISNUMBER(C40),AND(ISNUMBER(B40),ABS(C40-B40)&lt;=0.000001*MAX(1,ABS(B40))),EXACT(C40&amp;"",B40&amp;"")))</f>
      </c>
      <c r="E40">
        <f>ISERROR(C40)</f>
      </c>
    </row>
    <row r="41">
      <c r="A41" t="str">
        <v>I5</v>
      </c>
      <c r="B41">
        <v>0.894</v>
      </c>
      <c r="C41">
        <f>'ly11'!I5</f>
      </c>
      <c r="D41">
        <f>IF(ISERROR(C41),LEFT(B41&amp;"",1)="#",IF(ISNUMBER(C41),AND(ISNUMBER(B41),ABS(C41-B41)&lt;=0.000001*MAX(1,ABS(B41))),EXACT(C41&amp;"",B41&amp;"")))</f>
      </c>
      <c r="E41">
        <f>ISERROR(C41)</f>
      </c>
    </row>
    <row r="42">
      <c r="A42" t="str">
        <v>I6</v>
      </c>
      <c r="B42">
        <v>2.828</v>
      </c>
      <c r="C42">
        <f>'ly11'!I6</f>
      </c>
      <c r="D42">
        <f>IF(ISERROR(C42),LEFT(B42&amp;"",1)="#",IF(ISNUMBER(C42),AND(ISNUMBER(B42),ABS(C42-B42)&lt;=0.000001*MAX(1,ABS(B42))),EXACT(C42&amp;"",B42&amp;"")))</f>
      </c>
      <c r="E42">
        <f>ISERROR(C42)</f>
      </c>
    </row>
    <row r="43">
      <c r="A43" t="str">
        <v>I7</v>
      </c>
      <c r="B43">
        <v>0.894</v>
      </c>
      <c r="C43">
        <f>'ly11'!I7</f>
      </c>
      <c r="D43">
        <f>IF(ISERROR(C43),LEFT(B43&amp;"",1)="#",IF(ISNUMBER(C43),AND(ISNUMBER(B43),ABS(C43-B43)&lt;=0.000001*MAX(1,ABS(B43))),EXACT(C43&amp;"",B43&amp;"")))</f>
      </c>
      <c r="E43">
        <f>ISERROR(C43)</f>
      </c>
    </row>
    <row r="44">
      <c r="A44" t="str">
        <v>I8</v>
      </c>
      <c r="B44">
        <v>0.707</v>
      </c>
      <c r="C44">
        <f>'ly11'!I8</f>
      </c>
      <c r="D44">
        <f>IF(ISERROR(C44),LEFT(B44&amp;"",1)="#",IF(ISNUMBER(C44),AND(ISNUMBER(B44),ABS(C44-B44)&lt;=0.000001*MAX(1,ABS(B44))),EXACT(C44&amp;"",B44&amp;"")))</f>
      </c>
      <c r="E44">
        <f>ISERROR(C44)</f>
      </c>
    </row>
    <row r="45">
      <c r="A45" t="str">
        <v>I9</v>
      </c>
      <c r="B45">
        <v>0.8</v>
      </c>
      <c r="C45">
        <f>'ly11'!I9</f>
      </c>
      <c r="D45">
        <f>IF(ISERROR(C45),LEFT(B45&amp;"",1)="#",IF(ISNUMBER(C45),AND(ISNUMBER(B45),ABS(C45-B45)&lt;=0.000001*MAX(1,ABS(B45))),EXACT(C45&amp;"",B45&amp;"")))</f>
      </c>
      <c r="E45">
        <f>ISERROR(C45)</f>
      </c>
    </row>
    <row r="46">
      <c r="A46" t="str">
        <v>I10</v>
      </c>
      <c r="B46">
        <v>2.263</v>
      </c>
      <c r="C46">
        <f>'ly11'!I10</f>
      </c>
      <c r="D46">
        <f>IF(ISERROR(C46),LEFT(B46&amp;"",1)="#",IF(ISNUMBER(C46),AND(ISNUMBER(B46),ABS(C46-B46)&lt;=0.000001*MAX(1,ABS(B46))),EXACT(C46&amp;"",B46&amp;"")))</f>
      </c>
      <c r="E46">
        <f>ISERROR(C46)</f>
      </c>
    </row>
    <row r="47">
      <c r="A47" t="str">
        <v>I11</v>
      </c>
      <c r="B47">
        <v>1.6</v>
      </c>
      <c r="C47">
        <f>'ly11'!I11</f>
      </c>
      <c r="D47">
        <f>IF(ISERROR(C47),LEFT(B47&amp;"",1)="#",IF(ISNUMBER(C47),AND(ISNUMBER(B47),ABS(C47-B47)&lt;=0.000001*MAX(1,ABS(B47))),EXACT(C47&amp;"",B47&amp;"")))</f>
      </c>
      <c r="E47">
        <f>ISERROR(C47)</f>
      </c>
    </row>
    <row r="48">
      <c r="A48" t="str">
        <v>I12</v>
      </c>
      <c r="B48">
        <v>1.131</v>
      </c>
      <c r="C48">
        <f>'ly11'!I12</f>
      </c>
      <c r="D48">
        <f>IF(ISERROR(C48),LEFT(B48&amp;"",1)="#",IF(ISNUMBER(C48),AND(ISNUMBER(B48),ABS(C48-B48)&lt;=0.000001*MAX(1,ABS(B48))),EXACT(C48&amp;"",B48&amp;"")))</f>
      </c>
      <c r="E48">
        <f>ISERROR(C48)</f>
      </c>
    </row>
    <row r="49">
      <c r="A49" t="str">
        <v>I13</v>
      </c>
      <c r="B49">
        <v>0.2</v>
      </c>
      <c r="C49">
        <f>'ly11'!I13</f>
      </c>
      <c r="D49">
        <f>IF(ISERROR(C49),LEFT(B49&amp;"",1)="#",IF(ISNUMBER(C49),AND(ISNUMBER(B49),ABS(C49-B49)&lt;=0.000001*MAX(1,ABS(B49))),EXACT(C49&amp;"",B49&amp;"")))</f>
      </c>
      <c r="E49">
        <f>ISERROR(C49)</f>
      </c>
    </row>
    <row r="50">
      <c r="A50" t="str">
        <v>J2</v>
      </c>
      <c r="B50">
        <v>1</v>
      </c>
      <c r="C50">
        <f>'ly11'!J2</f>
      </c>
      <c r="D50">
        <f>IF(ISERROR(C50),LEFT(B50&amp;"",1)="#",IF(ISNUMBER(C50),AND(ISNUMBER(B50),ABS(C50-B50)&lt;=0.000001*MAX(1,ABS(B50))),EXACT(C50&amp;"",B50&amp;"")))</f>
      </c>
      <c r="E50">
        <f>ISERROR(C50)</f>
      </c>
    </row>
    <row r="51">
      <c r="A51" t="str">
        <v>J3</v>
      </c>
      <c r="B51">
        <v>0.01</v>
      </c>
      <c r="C51">
        <f>'ly11'!J3</f>
      </c>
      <c r="D51">
        <f>IF(ISERROR(C51),LEFT(B51&amp;"",1)="#",IF(ISNUMBER(C51),AND(ISNUMBER(B51),ABS(C51-B51)&lt;=0.000001*MAX(1,ABS(B51))),EXACT(C51&amp;"",B51&amp;"")))</f>
      </c>
      <c r="E51">
        <f>ISERROR(C51)</f>
      </c>
    </row>
    <row r="52">
      <c r="A52" t="str">
        <v>J4</v>
      </c>
      <c r="B52">
        <v>1</v>
      </c>
      <c r="C52">
        <f>'ly11'!J4</f>
      </c>
      <c r="D52">
        <f>IF(ISERROR(C52),LEFT(B52&amp;"",1)="#",IF(ISNUMBER(C52),AND(ISNUMBER(B52),ABS(C52-B52)&lt;=0.000001*MAX(1,ABS(B52))),EXACT(C52&amp;"",B52&amp;"")))</f>
      </c>
      <c r="E52">
        <f>ISERROR(C52)</f>
      </c>
    </row>
    <row r="53">
      <c r="A53" t="str">
        <v>J5</v>
      </c>
      <c r="B53">
        <v>0.08</v>
      </c>
      <c r="C53">
        <f>'ly11'!J5</f>
      </c>
      <c r="D53">
        <f>IF(ISERROR(C53),LEFT(B53&amp;"",1)="#",IF(ISNUMBER(C53),AND(ISNUMBER(B53),ABS(C53-B53)&lt;=0.000001*MAX(1,ABS(B53))),EXACT(C53&amp;"",B53&amp;"")))</f>
      </c>
      <c r="E53">
        <f>ISERROR(C53)</f>
      </c>
    </row>
    <row r="54">
      <c r="A54" t="str">
        <v>J6</v>
      </c>
      <c r="B54">
        <v>1</v>
      </c>
      <c r="C54">
        <f>'ly11'!J6</f>
      </c>
      <c r="D54">
        <f>IF(ISERROR(C54),LEFT(B54&amp;"",1)="#",IF(ISNUMBER(C54),AND(ISNUMBER(B54),ABS(C54-B54)&lt;=0.000001*MAX(1,ABS(B54))),EXACT(C54&amp;"",B54&amp;"")))</f>
      </c>
      <c r="E54">
        <f>ISERROR(C54)</f>
      </c>
    </row>
    <row r="55">
      <c r="A55" t="str">
        <v>J7</v>
      </c>
      <c r="B55">
        <v>0.08</v>
      </c>
      <c r="C55">
        <f>'ly11'!J7</f>
      </c>
      <c r="D55">
        <f>IF(ISERROR(C55),LEFT(B55&amp;"",1)="#",IF(ISNUMBER(C55),AND(ISNUMBER(B55),ABS(C55-B55)&lt;=0.000001*MAX(1,ABS(B55))),EXACT(C55&amp;"",B55&amp;"")))</f>
      </c>
      <c r="E55">
        <f>ISERROR(C55)</f>
      </c>
    </row>
    <row r="56">
      <c r="A56" t="str">
        <v>J8</v>
      </c>
      <c r="B56">
        <v>0.25</v>
      </c>
      <c r="C56">
        <f>'ly11'!J8</f>
      </c>
      <c r="D56">
        <f>IF(ISERROR(C56),LEFT(B56&amp;"",1)="#",IF(ISNUMBER(C56),AND(ISNUMBER(B56),ABS(C56-B56)&lt;=0.000001*MAX(1,ABS(B56))),EXACT(C56&amp;"",B56&amp;"")))</f>
      </c>
      <c r="E56">
        <f>ISERROR(C56)</f>
      </c>
    </row>
    <row r="57">
      <c r="A57" t="str">
        <v>J9</v>
      </c>
      <c r="B57">
        <v>0.064</v>
      </c>
      <c r="C57">
        <f>'ly11'!J9</f>
      </c>
      <c r="D57">
        <f>IF(ISERROR(C57),LEFT(B57&amp;"",1)="#",IF(ISNUMBER(C57),AND(ISNUMBER(B57),ABS(C57-B57)&lt;=0.000001*MAX(1,ABS(B57))),EXACT(C57&amp;"",B57&amp;"")))</f>
      </c>
      <c r="E57">
        <f>ISERROR(C57)</f>
      </c>
    </row>
    <row r="58">
      <c r="A58" t="str">
        <v>J10</v>
      </c>
      <c r="B58">
        <v>0.64</v>
      </c>
      <c r="C58">
        <f>'ly11'!J10</f>
      </c>
      <c r="D58">
        <f>IF(ISERROR(C58),LEFT(B58&amp;"",1)="#",IF(ISNUMBER(C58),AND(ISNUMBER(B58),ABS(C58-B58)&lt;=0.000001*MAX(1,ABS(B58))),EXACT(C58&amp;"",B58&amp;"")))</f>
      </c>
      <c r="E58">
        <f>ISERROR(C58)</f>
      </c>
    </row>
    <row r="59">
      <c r="A59" t="str">
        <v>J11</v>
      </c>
      <c r="B59">
        <v>0.64</v>
      </c>
      <c r="C59">
        <f>'ly11'!J11</f>
      </c>
      <c r="D59">
        <f>IF(ISERROR(C59),LEFT(B59&amp;"",1)="#",IF(ISNUMBER(C59),AND(ISNUMBER(B59),ABS(C59-B59)&lt;=0.000001*MAX(1,ABS(B59))),EXACT(C59&amp;"",B59&amp;"")))</f>
      </c>
      <c r="E59">
        <f>ISERROR(C59)</f>
      </c>
    </row>
    <row r="60">
      <c r="A60" t="str">
        <v>J12</v>
      </c>
      <c r="B60">
        <v>0.16</v>
      </c>
      <c r="C60">
        <f>'ly11'!J12</f>
      </c>
      <c r="D60">
        <f>IF(ISERROR(C60),LEFT(B60&amp;"",1)="#",IF(ISNUMBER(C60),AND(ISNUMBER(B60),ABS(C60-B60)&lt;=0.000001*MAX(1,ABS(B60))),EXACT(C60&amp;"",B60&amp;"")))</f>
      </c>
      <c r="E60">
        <f>ISERROR(C60)</f>
      </c>
    </row>
    <row r="61">
      <c r="A61" t="str">
        <v>J13</v>
      </c>
      <c r="B61">
        <v>0.004</v>
      </c>
      <c r="C61">
        <f>'ly11'!J13</f>
      </c>
      <c r="D61">
        <f>IF(ISERROR(C61),LEFT(B61&amp;"",1)="#",IF(ISNUMBER(C61),AND(ISNUMBER(B61),ABS(C61-B61)&lt;=0.000001*MAX(1,ABS(B61))),EXACT(C61&amp;"",B61&amp;"")))</f>
      </c>
      <c r="E61">
        <f>ISERROR(C61)</f>
      </c>
    </row>
    <row r="62">
      <c r="A62" t="str">
        <v>K2</v>
      </c>
      <c r="B62" t="str">
        <v>LON</v>
      </c>
      <c r="C62">
        <f>'ly11'!K2</f>
      </c>
      <c r="D62">
        <f>IF(ISERROR(C62),LEFT(B62&amp;"",1)="#",IF(ISNUMBER(C62),AND(ISNUMBER(B62),ABS(C62-B62)&lt;=0.000001*MAX(1,ABS(B62))),EXACT(C62&amp;"",B62&amp;"")))</f>
      </c>
      <c r="E62">
        <f>ISERROR(C62)</f>
      </c>
    </row>
    <row r="63">
      <c r="A63" t="str">
        <v>K3</v>
      </c>
      <c r="B63" t="str">
        <v>NHO</v>
      </c>
      <c r="C63">
        <f>'ly11'!K3</f>
      </c>
      <c r="D63">
        <f>IF(ISERROR(C63),LEFT(B63&amp;"",1)="#",IF(ISNUMBER(C63),AND(ISNUMBER(B63),ABS(C63-B63)&lt;=0.000001*MAX(1,ABS(B63))),EXACT(C63&amp;"",B63&amp;"")))</f>
      </c>
      <c r="E63">
        <f>ISERROR(C63)</f>
      </c>
    </row>
    <row r="64">
      <c r="A64" t="str">
        <v>K4</v>
      </c>
      <c r="B64" t="str">
        <v>LON</v>
      </c>
      <c r="C64">
        <f>'ly11'!K4</f>
      </c>
      <c r="D64">
        <f>IF(ISERROR(C64),LEFT(B64&amp;"",1)="#",IF(ISNUMBER(C64),AND(ISNUMBER(B64),ABS(C64-B64)&lt;=0.000001*MAX(1,ABS(B64))),EXACT(C64&amp;"",B64&amp;"")))</f>
      </c>
      <c r="E64">
        <f>ISERROR(C64)</f>
      </c>
    </row>
    <row r="65">
      <c r="A65" t="str">
        <v>K5</v>
      </c>
      <c r="B65" t="str">
        <v>NHO</v>
      </c>
      <c r="C65">
        <f>'ly11'!K5</f>
      </c>
      <c r="D65">
        <f>IF(ISERROR(C65),LEFT(B65&amp;"",1)="#",IF(ISNUMBER(C65),AND(ISNUMBER(B65),ABS(C65-B65)&lt;=0.000001*MAX(1,ABS(B65))),EXACT(C65&amp;"",B65&amp;"")))</f>
      </c>
      <c r="E65">
        <f>ISERROR(C65)</f>
      </c>
    </row>
    <row r="66">
      <c r="A66" t="str">
        <v>K6</v>
      </c>
      <c r="B66" t="str">
        <v>LON</v>
      </c>
      <c r="C66">
        <f>'ly11'!K6</f>
      </c>
      <c r="D66">
        <f>IF(ISERROR(C66),LEFT(B66&amp;"",1)="#",IF(ISNUMBER(C66),AND(ISNUMBER(B66),ABS(C66-B66)&lt;=0.000001*MAX(1,ABS(B66))),EXACT(C66&amp;"",B66&amp;"")))</f>
      </c>
      <c r="E66">
        <f>ISERROR(C66)</f>
      </c>
    </row>
    <row r="67">
      <c r="A67" t="str">
        <v>K7</v>
      </c>
      <c r="B67" t="str">
        <v>NHO</v>
      </c>
      <c r="C67">
        <f>'ly11'!K7</f>
      </c>
      <c r="D67">
        <f>IF(ISERROR(C67),LEFT(B67&amp;"",1)="#",IF(ISNUMBER(C67),AND(ISNUMBER(B67),ABS(C67-B67)&lt;=0.000001*MAX(1,ABS(B67))),EXACT(C67&amp;"",B67&amp;"")))</f>
      </c>
      <c r="E67">
        <f>ISERROR(C67)</f>
      </c>
    </row>
    <row r="68">
      <c r="A68" t="str">
        <v>K8</v>
      </c>
      <c r="B68" t="str">
        <v>LON</v>
      </c>
      <c r="C68">
        <f>'ly11'!K8</f>
      </c>
      <c r="D68">
        <f>IF(ISERROR(C68),LEFT(B68&amp;"",1)="#",IF(ISNUMBER(C68),AND(ISNUMBER(B68),ABS(C68-B68)&lt;=0.000001*MAX(1,ABS(B68))),EXACT(C68&amp;"",B68&amp;"")))</f>
      </c>
      <c r="E68">
        <f>ISERROR(C68)</f>
      </c>
    </row>
    <row r="69">
      <c r="A69" t="str">
        <v>K9</v>
      </c>
      <c r="B69" t="str">
        <v>NHO</v>
      </c>
      <c r="C69">
        <f>'ly11'!K9</f>
      </c>
      <c r="D69">
        <f>IF(ISERROR(C69),LEFT(B69&amp;"",1)="#",IF(ISNUMBER(C69),AND(ISNUMBER(B69),ABS(C69-B69)&lt;=0.000001*MAX(1,ABS(B69))),EXACT(C69&amp;"",B69&amp;"")))</f>
      </c>
      <c r="E69">
        <f>ISERROR(C69)</f>
      </c>
    </row>
    <row r="70">
      <c r="A70" t="str">
        <v>K10</v>
      </c>
      <c r="B70" t="str">
        <v>LON</v>
      </c>
      <c r="C70">
        <f>'ly11'!K10</f>
      </c>
      <c r="D70">
        <f>IF(ISERROR(C70),LEFT(B70&amp;"",1)="#",IF(ISNUMBER(C70),AND(ISNUMBER(B70),ABS(C70-B70)&lt;=0.000001*MAX(1,ABS(B70))),EXACT(C70&amp;"",B70&amp;"")))</f>
      </c>
      <c r="E70">
        <f>ISERROR(C70)</f>
      </c>
    </row>
    <row r="71">
      <c r="A71" t="str">
        <v>K11</v>
      </c>
      <c r="B71" t="str">
        <v>LON</v>
      </c>
      <c r="C71">
        <f>'ly11'!K11</f>
      </c>
      <c r="D71">
        <f>IF(ISERROR(C71),LEFT(B71&amp;"",1)="#",IF(ISNUMBER(C71),AND(ISNUMBER(B71),ABS(C71-B71)&lt;=0.000001*MAX(1,ABS(B71))),EXACT(C71&amp;"",B71&amp;"")))</f>
      </c>
      <c r="E71">
        <f>ISERROR(C71)</f>
      </c>
    </row>
    <row r="72">
      <c r="A72" t="str">
        <v>K12</v>
      </c>
      <c r="B72" t="str">
        <v>LON</v>
      </c>
      <c r="C72">
        <f>'ly11'!K12</f>
      </c>
      <c r="D72">
        <f>IF(ISERROR(C72),LEFT(B72&amp;"",1)="#",IF(ISNUMBER(C72),AND(ISNUMBER(B72),ABS(C72-B72)&lt;=0.000001*MAX(1,ABS(B72))),EXACT(C72&amp;"",B72&amp;"")))</f>
      </c>
      <c r="E72">
        <f>ISERROR(C72)</f>
      </c>
    </row>
    <row r="73">
      <c r="A73" t="str">
        <v>K13</v>
      </c>
      <c r="B73" t="str">
        <v>NHO</v>
      </c>
      <c r="C73">
        <f>'ly11'!K13</f>
      </c>
      <c r="D73">
        <f>IF(ISERROR(C73),LEFT(B73&amp;"",1)="#",IF(ISNUMBER(C73),AND(ISNUMBER(B73),ABS(C73-B73)&lt;=0.000001*MAX(1,ABS(B73))),EXACT(C73&amp;"",B73&amp;"")))</f>
      </c>
      <c r="E73">
        <f>ISERROR(C73)</f>
      </c>
    </row>
    <row r="74">
      <c r="A74" t="str">
        <v>Z2</v>
      </c>
      <c r="B74" t="str">
        <v>CL01</v>
      </c>
      <c r="C74">
        <f>'ly11'!Z2</f>
      </c>
      <c r="D74">
        <f>IF(ISERROR(C74),LEFT(B74&amp;"",1)="#",IF(ISNUMBER(C74),AND(ISNUMBER(B74),ABS(C74-B74)&lt;=0.000001*MAX(1,ABS(B74))),EXACT(C74&amp;"",B74&amp;"")))</f>
      </c>
      <c r="E74">
        <f>ISERROR(C74)</f>
      </c>
    </row>
    <row r="75">
      <c r="A75" t="str">
        <v>Z3</v>
      </c>
      <c r="B75">
        <v>4.69</v>
      </c>
      <c r="C75">
        <f>'ly11'!Z3</f>
      </c>
      <c r="D75">
        <f>IF(ISERROR(C75),LEFT(B75&amp;"",1)="#",IF(ISNUMBER(C75),AND(ISNUMBER(B75),ABS(C75-B75)&lt;=0.000001*MAX(1,ABS(B75))),EXACT(C75&amp;"",B75&amp;"")))</f>
      </c>
      <c r="E75">
        <f>ISERROR(C75)</f>
      </c>
    </row>
    <row r="76">
      <c r="A76" t="str">
        <v>Z4</v>
      </c>
      <c r="B76">
        <v>0</v>
      </c>
      <c r="C76">
        <f>'ly11'!Z4</f>
      </c>
      <c r="D76">
        <f>IF(ISERROR(C76),LEFT(B76&amp;"",1)="#",IF(ISNUMBER(C76),AND(ISNUMBER(B76),ABS(C76-B76)&lt;=0.000001*MAX(1,ABS(B76))),EXACT(C76&amp;"",B76&amp;"")))</f>
      </c>
      <c r="E76">
        <f>ISERROR(C76)</f>
      </c>
    </row>
    <row r="77">
      <c r="A77" t="str">
        <v>Z5</v>
      </c>
      <c r="B77">
        <v>0.2518571428571429</v>
      </c>
      <c r="C77">
        <f>'ly11'!Z5</f>
      </c>
      <c r="D77">
        <f>IF(ISERROR(C77),LEFT(B77&amp;"",1)="#",IF(ISNUMBER(C77),AND(ISNUMBER(B77),ABS(C77-B77)&lt;=0.000001*MAX(1,ABS(B77))),EXACT(C77&amp;"",B77&amp;"")))</f>
      </c>
      <c r="E77">
        <f>ISERROR(C77)</f>
      </c>
    </row>
    <row r="78">
      <c r="A78" t="str">
        <v>Z6</v>
      </c>
      <c r="B78">
        <v>0.894</v>
      </c>
      <c r="C78">
        <f>'ly11'!Z6</f>
      </c>
      <c r="D78">
        <f>IF(ISERROR(C78),LEFT(B78&amp;"",1)="#",IF(ISNUMBER(C78),AND(ISNUMBER(B78),ABS(C78-B78)&lt;=0.000001*MAX(1,ABS(B78))),EXACT(C78&amp;"",B78&amp;"")))</f>
      </c>
      <c r="E78">
        <f>ISERROR(C78)</f>
      </c>
    </row>
    <row r="79">
      <c r="A79" t="str">
        <v>Z7</v>
      </c>
      <c r="B79">
        <v>0.281</v>
      </c>
      <c r="C79">
        <f>'ly11'!Z7</f>
      </c>
      <c r="D79">
        <f>IF(ISERROR(C79),LEFT(B79&amp;"",1)="#",IF(ISNUMBER(C79),AND(ISNUMBER(B79),ABS(C79-B79)&lt;=0.000001*MAX(1,ABS(B79))),EXACT(C79&amp;"",B79&amp;"")))</f>
      </c>
      <c r="E79">
        <f>ISERROR(C79)</f>
      </c>
    </row>
    <row r="80">
      <c r="A80" t="str">
        <v>Z8</v>
      </c>
      <c r="B80">
        <v>0.444</v>
      </c>
      <c r="C80">
        <f>'ly11'!Z8</f>
      </c>
      <c r="D80">
        <f>IF(ISERROR(C80),LEFT(B80&amp;"",1)="#",IF(ISNUMBER(C80),AND(ISNUMBER(B80),ABS(C80-B80)&lt;=0.000001*MAX(1,ABS(B80))),EXACT(C80&amp;"",B80&amp;"")))</f>
      </c>
      <c r="E80">
        <f>ISERROR(C80)</f>
      </c>
    </row>
    <row r="81">
      <c r="A81" t="str">
        <v>Z9</v>
      </c>
      <c r="B81">
        <v>9.39</v>
      </c>
      <c r="C81">
        <f>'ly11'!Z9</f>
      </c>
      <c r="D81">
        <f>IF(ISERROR(C81),LEFT(B81&amp;"",1)="#",IF(ISNUMBER(C81),AND(ISNUMBER(B81),ABS(C81-B81)&lt;=0.000001*MAX(1,ABS(B81))),EXACT(C81&amp;"",B81&amp;"")))</f>
      </c>
      <c r="E81">
        <f>ISERROR(C81)</f>
      </c>
    </row>
    <row r="82">
      <c r="A82" t="str">
        <v>Z10</v>
      </c>
      <c r="B82">
        <v>4.69</v>
      </c>
      <c r="C82">
        <f>'ly11'!Z10</f>
      </c>
      <c r="D82">
        <f>IF(ISERROR(C82),LEFT(B82&amp;"",1)="#",IF(ISNUMBER(C82),AND(ISNUMBER(B82),ABS(C82-B82)&lt;=0.000001*MAX(1,ABS(B82))),EXACT(C82&amp;"",B82&amp;"")))</f>
      </c>
      <c r="E82">
        <f>ISERROR(C82)</f>
      </c>
    </row>
    <row r="83">
      <c r="A83" t="str">
        <v>Z11</v>
      </c>
      <c r="B83">
        <v>7</v>
      </c>
      <c r="C83">
        <f>'ly11'!Z11</f>
      </c>
      <c r="D83">
        <f>IF(ISERROR(C83),LEFT(B83&amp;"",1)="#",IF(ISNUMBER(C83),AND(ISNUMBER(B83),ABS(C83-B83)&lt;=0.000001*MAX(1,ABS(B83))),EXACT(C83&amp;"",B83&amp;"")))</f>
      </c>
      <c r="E83">
        <f>ISERROR(C83)</f>
      </c>
    </row>
    <row r="84">
      <c r="A84" t="str">
        <v>Z12</v>
      </c>
      <c r="B84">
        <v>4.69</v>
      </c>
      <c r="C84">
        <f>'ly11'!Z12</f>
      </c>
      <c r="D84">
        <f>IF(ISERROR(C84),LEFT(B84&amp;"",1)="#",IF(ISNUMBER(C84),AND(ISNUMBER(B84),ABS(C84-B84)&lt;=0.000001*MAX(1,ABS(B84))),EXACT(C84&amp;"",B84&amp;"")))</f>
      </c>
      <c r="E84">
        <f>ISERROR(C84)</f>
      </c>
    </row>
    <row r="85">
      <c r="A85" t="str">
        <v>Z13</v>
      </c>
      <c r="B85">
        <v>582.5</v>
      </c>
      <c r="C85">
        <f>'ly11'!Z13</f>
      </c>
      <c r="D85">
        <f>IF(ISERROR(C85),LEFT(B85&amp;"",1)="#",IF(ISNUMBER(C85),AND(ISNUMBER(B85),ABS(C85-B85)&lt;=0.000001*MAX(1,ABS(B85))),EXACT(C85&amp;"",B85&amp;"")))</f>
      </c>
      <c r="E85">
        <f>ISERROR(C85)</f>
      </c>
    </row>
  </sheetData>
  <ignoredErrors>
    <ignoredError numberStoredAsText="1" sqref="A1:E85"/>
  </ignoredErrors>
</worksheet>
</file>

<file path=xl/worksheets/sheet5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MaTB</v>
      </c>
      <c r="B1" t="str">
        <v>LoaiTB</v>
      </c>
      <c r="C1" t="str">
        <v>CongSuat</v>
      </c>
      <c r="D1" t="str">
        <v>GioNgay</v>
      </c>
      <c r="E1" t="str">
        <v>SoNgay</v>
      </c>
      <c r="F1" t="str">
        <v>kWh</v>
      </c>
      <c r="G1" t="str">
        <v>DonGia</v>
      </c>
      <c r="H1" t="str">
        <v>TienDien</v>
      </c>
      <c r="I1" t="str">
        <v>MucDung</v>
      </c>
      <c r="R1" t="str">
        <v>TuKWh</v>
      </c>
      <c r="S1" t="str">
        <v>DonGia</v>
      </c>
      <c r="W1" t="str">
        <v>LoaiTB</v>
      </c>
      <c r="Y1" t="str">
        <v>TongHop</v>
      </c>
      <c r="Z1" t="str">
        <v>KetQua</v>
      </c>
    </row>
    <row r="2">
      <c r="A2" t="str">
        <v>TB01</v>
      </c>
      <c r="B2" t="str">
        <v>DEN</v>
      </c>
      <c r="C2">
        <v>60</v>
      </c>
      <c r="D2">
        <v>6</v>
      </c>
      <c r="E2">
        <v>25</v>
      </c>
      <c r="F2">
        <f>ROUND(C2*D2*E2/1000,2)</f>
        <v>9</v>
      </c>
      <c r="G2">
        <f>VLOOKUP(F2,$R$2:$S$5,2,TRUE)</f>
        <v>1800</v>
      </c>
      <c r="H2">
        <f>ROUND(F2*G2,0)</f>
        <v>16200</v>
      </c>
      <c r="I2" t="str">
        <f>IF(F2&gt;=100,"NHIEU",IF(F2&gt;=30,"VUA","IT"))</f>
        <v>IT</v>
      </c>
      <c r="R2">
        <v>0</v>
      </c>
      <c r="S2">
        <v>1800</v>
      </c>
      <c r="W2" t="str">
        <v>MAYLANH</v>
      </c>
      <c r="Y2" t="str">
        <v>Ma MaTB co TienDien lon nhat</v>
      </c>
      <c r="Z2" t="str">
        <f>INDEX(A2:A13,MATCH(MAX(H2:H13),H2:H13,0))</f>
        <v>TB06</v>
      </c>
    </row>
    <row r="3">
      <c r="A3" t="str">
        <v>TB02</v>
      </c>
      <c r="B3" t="str">
        <v>QUAT</v>
      </c>
      <c r="C3">
        <v>45</v>
      </c>
      <c r="D3">
        <v>3</v>
      </c>
      <c r="E3">
        <v>29</v>
      </c>
      <c r="F3">
        <f>ROUND(C3*D3*E3/1000,2)</f>
        <v>3.92</v>
      </c>
      <c r="G3">
        <f>VLOOKUP(F3,$R$2:$S$5,2,TRUE)</f>
        <v>1800</v>
      </c>
      <c r="H3">
        <f>ROUND(F3*G3,0)</f>
        <v>7056</v>
      </c>
      <c r="I3" t="str">
        <f>IF(F3&gt;=100,"NHIEU",IF(F3&gt;=30,"VUA","IT"))</f>
        <v>IT</v>
      </c>
      <c r="R3">
        <v>50</v>
      </c>
      <c r="S3">
        <v>2000</v>
      </c>
      <c r="Y3" t="str">
        <v>Tong TienDien khi LoaiTB = MAYLANH</v>
      </c>
      <c r="Z3">
        <f>SUMIF(B2:B13,"MAYLANH",H2:H13)</f>
        <v>2091600</v>
      </c>
    </row>
    <row r="4">
      <c r="A4" t="str">
        <v>TB03</v>
      </c>
      <c r="B4" t="str">
        <v>TULANH</v>
      </c>
      <c r="C4">
        <v>90</v>
      </c>
      <c r="D4">
        <v>24</v>
      </c>
      <c r="E4">
        <v>29</v>
      </c>
      <c r="F4">
        <f>ROUND(C4*D4*E4/1000,2)</f>
        <v>62.64</v>
      </c>
      <c r="G4">
        <f>VLOOKUP(F4,$R$2:$S$5,2,TRUE)</f>
        <v>2000</v>
      </c>
      <c r="H4">
        <f>ROUND(F4*G4,0)</f>
        <v>125280</v>
      </c>
      <c r="I4" t="str">
        <f>IF(F4&gt;=100,"NHIEU",IF(F4&gt;=30,"VUA","IT"))</f>
        <v>VUA</v>
      </c>
      <c r="R4">
        <v>100</v>
      </c>
      <c r="S4">
        <v>2500</v>
      </c>
      <c r="Y4" t="str">
        <v>So dong LoaiTB = TULANH, kWh &gt;=30</v>
      </c>
      <c r="Z4">
        <f>COUNTIFS(B2:B13,"TULANH",F2:F13,"&gt;=30")</f>
        <v>2</v>
      </c>
    </row>
    <row r="5">
      <c r="A5" t="str">
        <v>TB04</v>
      </c>
      <c r="B5" t="str">
        <v>MAYLANH</v>
      </c>
      <c r="C5">
        <v>900</v>
      </c>
      <c r="D5">
        <v>9</v>
      </c>
      <c r="E5">
        <v>27</v>
      </c>
      <c r="F5">
        <f>ROUND(C5*D5*E5/1000,2)</f>
        <v>218.7</v>
      </c>
      <c r="G5">
        <f>VLOOKUP(F5,$R$2:$S$5,2,TRUE)</f>
        <v>3000</v>
      </c>
      <c r="H5">
        <f>ROUND(F5*G5,0)</f>
        <v>656100</v>
      </c>
      <c r="I5" t="str">
        <f>IF(F5&gt;=100,"NHIEU",IF(F5&gt;=30,"VUA","IT"))</f>
        <v>NHIEU</v>
      </c>
      <c r="R5">
        <v>200</v>
      </c>
      <c r="S5">
        <v>3000</v>
      </c>
      <c r="Y5" t="str">
        <v>kWh trung binh khi LoaiTB = QUAT</v>
      </c>
      <c r="Z5">
        <f>AVERAGEIF(B2:B13,"QUAT",F2:F13)</f>
        <v>9.673333333333334</v>
      </c>
    </row>
    <row r="6">
      <c r="A6" t="str">
        <v>TB05</v>
      </c>
      <c r="B6" t="str">
        <v>QUAT</v>
      </c>
      <c r="C6">
        <v>60</v>
      </c>
      <c r="D6">
        <v>11</v>
      </c>
      <c r="E6">
        <v>28</v>
      </c>
      <c r="F6">
        <f>ROUND(C6*D6*E6/1000,2)</f>
        <v>18.48</v>
      </c>
      <c r="G6">
        <f>VLOOKUP(F6,$R$2:$S$5,2,TRUE)</f>
        <v>1800</v>
      </c>
      <c r="H6">
        <f>ROUND(F6*G6,0)</f>
        <v>33264</v>
      </c>
      <c r="I6" t="str">
        <f>IF(F6&gt;=100,"NHIEU",IF(F6&gt;=30,"VUA","IT"))</f>
        <v>IT</v>
      </c>
      <c r="Y6" t="str">
        <v>TienDien lon nhat khi LoaiTB = DEN</v>
      </c>
      <c r="Z6">
        <f>_xlfn.MAXIFS(H2:H13,B2:B13,"DEN")</f>
        <v>26136</v>
      </c>
    </row>
    <row r="7">
      <c r="A7" t="str">
        <v>TB06</v>
      </c>
      <c r="B7" t="str">
        <v>MAYLANH</v>
      </c>
      <c r="C7">
        <v>900</v>
      </c>
      <c r="D7">
        <v>10</v>
      </c>
      <c r="E7">
        <v>29</v>
      </c>
      <c r="F7">
        <f>ROUND(C7*D7*E7/1000,2)</f>
        <v>261</v>
      </c>
      <c r="G7">
        <f>VLOOKUP(F7,$R$2:$S$5,2,TRUE)</f>
        <v>3000</v>
      </c>
      <c r="H7">
        <f>ROUND(F7*G7,0)</f>
        <v>783000</v>
      </c>
      <c r="I7" t="str">
        <f>IF(F7&gt;=100,"NHIEU",IF(F7&gt;=30,"VUA","IT"))</f>
        <v>NHIEU</v>
      </c>
      <c r="Y7" t="str">
        <v>TienDien trung vi</v>
      </c>
      <c r="Z7">
        <f>MEDIAN(H2:H13)</f>
        <v>29700</v>
      </c>
    </row>
    <row r="8">
      <c r="A8" t="str">
        <v>TB07</v>
      </c>
      <c r="B8" t="str">
        <v>DEN</v>
      </c>
      <c r="C8">
        <v>60</v>
      </c>
      <c r="D8">
        <v>11</v>
      </c>
      <c r="E8">
        <v>22</v>
      </c>
      <c r="F8">
        <f>ROUND(C8*D8*E8/1000,2)</f>
        <v>14.52</v>
      </c>
      <c r="G8">
        <f>VLOOKUP(F8,$R$2:$S$5,2,TRUE)</f>
        <v>1800</v>
      </c>
      <c r="H8">
        <f>ROUND(F8*G8,0)</f>
        <v>26136</v>
      </c>
      <c r="I8" t="str">
        <f>IF(F8&gt;=100,"NHIEU",IF(F8&gt;=30,"VUA","IT"))</f>
        <v>IT</v>
      </c>
      <c r="Y8" t="str">
        <v>TienDien lon thu hai</v>
      </c>
      <c r="Z8">
        <f>LARGE(H2:H13,2)</f>
        <v>656100</v>
      </c>
    </row>
    <row r="9">
      <c r="A9" t="str">
        <v>TB08</v>
      </c>
      <c r="B9" t="str">
        <v>QUAT</v>
      </c>
      <c r="C9">
        <v>45</v>
      </c>
      <c r="D9">
        <v>7</v>
      </c>
      <c r="E9">
        <v>21</v>
      </c>
      <c r="F9">
        <f>ROUND(C9*D9*E9/1000,2)</f>
        <v>6.62</v>
      </c>
      <c r="G9">
        <f>VLOOKUP(F9,$R$2:$S$5,2,TRUE)</f>
        <v>1800</v>
      </c>
      <c r="H9">
        <f>ROUND(F9*G9,0)</f>
        <v>11916</v>
      </c>
      <c r="I9" t="str">
        <f>IF(F9&gt;=100,"NHIEU",IF(F9&gt;=30,"VUA","IT"))</f>
        <v>IT</v>
      </c>
      <c r="Y9" t="str">
        <v>Do lech chuan kWh</v>
      </c>
      <c r="Z9">
        <f>ROUND(STDEV(F2:F13),2)</f>
        <v>98.44</v>
      </c>
    </row>
    <row r="10">
      <c r="A10" t="str">
        <v>TB09</v>
      </c>
      <c r="B10" t="str">
        <v>DEN</v>
      </c>
      <c r="C10">
        <v>40</v>
      </c>
      <c r="D10">
        <v>11</v>
      </c>
      <c r="E10">
        <v>30</v>
      </c>
      <c r="F10">
        <f>ROUND(C10*D10*E10/1000,2)</f>
        <v>13.2</v>
      </c>
      <c r="G10">
        <f>VLOOKUP(F10,$R$2:$S$5,2,TRUE)</f>
        <v>1800</v>
      </c>
      <c r="H10">
        <f>ROUND(F10*G10,0)</f>
        <v>23760</v>
      </c>
      <c r="I10" t="str">
        <f>IF(F10&gt;=100,"NHIEU",IF(F10&gt;=30,"VUA","IT"))</f>
        <v>IT</v>
      </c>
      <c r="Y10" t="str">
        <v>Tong TienDien theo tieu chi W1:W2</v>
      </c>
      <c r="Z10">
        <f>DSUM(A1:I13,"TienDien",W1:W2)</f>
        <v>2091600</v>
      </c>
    </row>
    <row r="11">
      <c r="A11" t="str">
        <v>TB10</v>
      </c>
      <c r="B11" t="str">
        <v>TULANH</v>
      </c>
      <c r="C11">
        <v>150</v>
      </c>
      <c r="D11">
        <v>24</v>
      </c>
      <c r="E11">
        <v>30</v>
      </c>
      <c r="F11">
        <f>ROUND(C11*D11*E11/1000,2)</f>
        <v>108</v>
      </c>
      <c r="G11">
        <f>VLOOKUP(F11,$R$2:$S$5,2,TRUE)</f>
        <v>2500</v>
      </c>
      <c r="H11">
        <f>ROUND(F11*G11,0)</f>
        <v>270000</v>
      </c>
      <c r="I11" t="str">
        <f>IF(F11&gt;=100,"NHIEU",IF(F11&gt;=30,"VUA","IT"))</f>
        <v>NHIEU</v>
      </c>
      <c r="Y11" t="str">
        <v>So dong theo tieu chi W1:W2</v>
      </c>
      <c r="Z11">
        <f>DCOUNT(A1:I13,"TienDien",W1:W2)</f>
        <v>3</v>
      </c>
    </row>
    <row r="12">
      <c r="A12" t="str">
        <v>TB11</v>
      </c>
      <c r="B12" t="str">
        <v>MAYLANH</v>
      </c>
      <c r="C12">
        <v>1500</v>
      </c>
      <c r="D12">
        <v>5</v>
      </c>
      <c r="E12">
        <v>29</v>
      </c>
      <c r="F12">
        <f>ROUND(C12*D12*E12/1000,2)</f>
        <v>217.5</v>
      </c>
      <c r="G12">
        <f>VLOOKUP(F12,$R$2:$S$5,2,TRUE)</f>
        <v>3000</v>
      </c>
      <c r="H12">
        <f>ROUND(F12*G12,0)</f>
        <v>652500</v>
      </c>
      <c r="I12" t="str">
        <f>IF(F12&gt;=100,"NHIEU",IF(F12&gt;=30,"VUA","IT"))</f>
        <v>NHIEU</v>
      </c>
      <c r="Y12" t="str">
        <v>Tong TienDien khi LoaiTB = MAYLANH (SUMPRODUCT)</v>
      </c>
      <c r="Z12">
        <f>SUMPRODUCT((B2:B13="MAYLANH")*H2:H13)</f>
        <v>2091600</v>
      </c>
    </row>
    <row r="13">
      <c r="A13" t="str">
        <v>TB12</v>
      </c>
      <c r="B13" t="str">
        <v>DEN</v>
      </c>
      <c r="C13">
        <v>40</v>
      </c>
      <c r="D13">
        <v>4</v>
      </c>
      <c r="E13">
        <v>20</v>
      </c>
      <c r="F13">
        <f>ROUND(C13*D13*E13/1000,2)</f>
        <v>3.2</v>
      </c>
      <c r="G13">
        <f>VLOOKUP(F13,$R$2:$S$5,2,TRUE)</f>
        <v>1800</v>
      </c>
      <c r="H13">
        <f>ROUND(F13*G13,0)</f>
        <v>5760</v>
      </c>
      <c r="I13" t="str">
        <f>IF(F13&gt;=100,"NHIEU",IF(F13&gt;=30,"VUA","IT"))</f>
        <v>IT</v>
      </c>
      <c r="Y13" t="str">
        <v>Tong CongSuat x SoNgay</v>
      </c>
      <c r="Z13">
        <f>SUMPRODUCT(C2:C13,E2:E13)</f>
        <v>109760</v>
      </c>
    </row>
  </sheetData>
  <ignoredErrors>
    <ignoredError numberStoredAsText="1" sqref="A1:Z13"/>
  </ignoredErrors>
</worksheet>
</file>

<file path=xl/worksheets/sheet51.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9</v>
      </c>
      <c r="C2">
        <f>'cn12'!F2</f>
      </c>
      <c r="D2">
        <f>IF(ISERROR(C2),LEFT(B2&amp;"",1)="#",IF(ISNUMBER(C2),AND(ISNUMBER(B2),ABS(C2-B2)&lt;=0.000001*MAX(1,ABS(B2))),EXACT(C2&amp;"",B2&amp;"")))</f>
      </c>
      <c r="E2">
        <f>ISERROR(C2)</f>
      </c>
    </row>
    <row r="3">
      <c r="A3" t="str">
        <v>F3</v>
      </c>
      <c r="B3">
        <v>3.92</v>
      </c>
      <c r="C3">
        <f>'cn12'!F3</f>
      </c>
      <c r="D3">
        <f>IF(ISERROR(C3),LEFT(B3&amp;"",1)="#",IF(ISNUMBER(C3),AND(ISNUMBER(B3),ABS(C3-B3)&lt;=0.000001*MAX(1,ABS(B3))),EXACT(C3&amp;"",B3&amp;"")))</f>
      </c>
      <c r="E3">
        <f>ISERROR(C3)</f>
      </c>
    </row>
    <row r="4">
      <c r="A4" t="str">
        <v>F4</v>
      </c>
      <c r="B4">
        <v>62.64</v>
      </c>
      <c r="C4">
        <f>'cn12'!F4</f>
      </c>
      <c r="D4">
        <f>IF(ISERROR(C4),LEFT(B4&amp;"",1)="#",IF(ISNUMBER(C4),AND(ISNUMBER(B4),ABS(C4-B4)&lt;=0.000001*MAX(1,ABS(B4))),EXACT(C4&amp;"",B4&amp;"")))</f>
      </c>
      <c r="E4">
        <f>ISERROR(C4)</f>
      </c>
    </row>
    <row r="5">
      <c r="A5" t="str">
        <v>F5</v>
      </c>
      <c r="B5">
        <v>218.7</v>
      </c>
      <c r="C5">
        <f>'cn12'!F5</f>
      </c>
      <c r="D5">
        <f>IF(ISERROR(C5),LEFT(B5&amp;"",1)="#",IF(ISNUMBER(C5),AND(ISNUMBER(B5),ABS(C5-B5)&lt;=0.000001*MAX(1,ABS(B5))),EXACT(C5&amp;"",B5&amp;"")))</f>
      </c>
      <c r="E5">
        <f>ISERROR(C5)</f>
      </c>
    </row>
    <row r="6">
      <c r="A6" t="str">
        <v>F6</v>
      </c>
      <c r="B6">
        <v>18.48</v>
      </c>
      <c r="C6">
        <f>'cn12'!F6</f>
      </c>
      <c r="D6">
        <f>IF(ISERROR(C6),LEFT(B6&amp;"",1)="#",IF(ISNUMBER(C6),AND(ISNUMBER(B6),ABS(C6-B6)&lt;=0.000001*MAX(1,ABS(B6))),EXACT(C6&amp;"",B6&amp;"")))</f>
      </c>
      <c r="E6">
        <f>ISERROR(C6)</f>
      </c>
    </row>
    <row r="7">
      <c r="A7" t="str">
        <v>F7</v>
      </c>
      <c r="B7">
        <v>261</v>
      </c>
      <c r="C7">
        <f>'cn12'!F7</f>
      </c>
      <c r="D7">
        <f>IF(ISERROR(C7),LEFT(B7&amp;"",1)="#",IF(ISNUMBER(C7),AND(ISNUMBER(B7),ABS(C7-B7)&lt;=0.000001*MAX(1,ABS(B7))),EXACT(C7&amp;"",B7&amp;"")))</f>
      </c>
      <c r="E7">
        <f>ISERROR(C7)</f>
      </c>
    </row>
    <row r="8">
      <c r="A8" t="str">
        <v>F8</v>
      </c>
      <c r="B8">
        <v>14.52</v>
      </c>
      <c r="C8">
        <f>'cn12'!F8</f>
      </c>
      <c r="D8">
        <f>IF(ISERROR(C8),LEFT(B8&amp;"",1)="#",IF(ISNUMBER(C8),AND(ISNUMBER(B8),ABS(C8-B8)&lt;=0.000001*MAX(1,ABS(B8))),EXACT(C8&amp;"",B8&amp;"")))</f>
      </c>
      <c r="E8">
        <f>ISERROR(C8)</f>
      </c>
    </row>
    <row r="9">
      <c r="A9" t="str">
        <v>F9</v>
      </c>
      <c r="B9">
        <v>6.62</v>
      </c>
      <c r="C9">
        <f>'cn12'!F9</f>
      </c>
      <c r="D9">
        <f>IF(ISERROR(C9),LEFT(B9&amp;"",1)="#",IF(ISNUMBER(C9),AND(ISNUMBER(B9),ABS(C9-B9)&lt;=0.000001*MAX(1,ABS(B9))),EXACT(C9&amp;"",B9&amp;"")))</f>
      </c>
      <c r="E9">
        <f>ISERROR(C9)</f>
      </c>
    </row>
    <row r="10">
      <c r="A10" t="str">
        <v>F10</v>
      </c>
      <c r="B10">
        <v>13.2</v>
      </c>
      <c r="C10">
        <f>'cn12'!F10</f>
      </c>
      <c r="D10">
        <f>IF(ISERROR(C10),LEFT(B10&amp;"",1)="#",IF(ISNUMBER(C10),AND(ISNUMBER(B10),ABS(C10-B10)&lt;=0.000001*MAX(1,ABS(B10))),EXACT(C10&amp;"",B10&amp;"")))</f>
      </c>
      <c r="E10">
        <f>ISERROR(C10)</f>
      </c>
    </row>
    <row r="11">
      <c r="A11" t="str">
        <v>F11</v>
      </c>
      <c r="B11">
        <v>108</v>
      </c>
      <c r="C11">
        <f>'cn12'!F11</f>
      </c>
      <c r="D11">
        <f>IF(ISERROR(C11),LEFT(B11&amp;"",1)="#",IF(ISNUMBER(C11),AND(ISNUMBER(B11),ABS(C11-B11)&lt;=0.000001*MAX(1,ABS(B11))),EXACT(C11&amp;"",B11&amp;"")))</f>
      </c>
      <c r="E11">
        <f>ISERROR(C11)</f>
      </c>
    </row>
    <row r="12">
      <c r="A12" t="str">
        <v>F12</v>
      </c>
      <c r="B12">
        <v>217.5</v>
      </c>
      <c r="C12">
        <f>'cn12'!F12</f>
      </c>
      <c r="D12">
        <f>IF(ISERROR(C12),LEFT(B12&amp;"",1)="#",IF(ISNUMBER(C12),AND(ISNUMBER(B12),ABS(C12-B12)&lt;=0.000001*MAX(1,ABS(B12))),EXACT(C12&amp;"",B12&amp;"")))</f>
      </c>
      <c r="E12">
        <f>ISERROR(C12)</f>
      </c>
    </row>
    <row r="13">
      <c r="A13" t="str">
        <v>F13</v>
      </c>
      <c r="B13">
        <v>3.2</v>
      </c>
      <c r="C13">
        <f>'cn12'!F13</f>
      </c>
      <c r="D13">
        <f>IF(ISERROR(C13),LEFT(B13&amp;"",1)="#",IF(ISNUMBER(C13),AND(ISNUMBER(B13),ABS(C13-B13)&lt;=0.000001*MAX(1,ABS(B13))),EXACT(C13&amp;"",B13&amp;"")))</f>
      </c>
      <c r="E13">
        <f>ISERROR(C13)</f>
      </c>
    </row>
    <row r="14">
      <c r="A14" t="str">
        <v>G2</v>
      </c>
      <c r="B14">
        <v>1800</v>
      </c>
      <c r="C14">
        <f>'cn12'!G2</f>
      </c>
      <c r="D14">
        <f>IF(ISERROR(C14),LEFT(B14&amp;"",1)="#",IF(ISNUMBER(C14),AND(ISNUMBER(B14),ABS(C14-B14)&lt;=0.000001*MAX(1,ABS(B14))),EXACT(C14&amp;"",B14&amp;"")))</f>
      </c>
      <c r="E14">
        <f>ISERROR(C14)</f>
      </c>
    </row>
    <row r="15">
      <c r="A15" t="str">
        <v>G3</v>
      </c>
      <c r="B15">
        <v>1800</v>
      </c>
      <c r="C15">
        <f>'cn12'!G3</f>
      </c>
      <c r="D15">
        <f>IF(ISERROR(C15),LEFT(B15&amp;"",1)="#",IF(ISNUMBER(C15),AND(ISNUMBER(B15),ABS(C15-B15)&lt;=0.000001*MAX(1,ABS(B15))),EXACT(C15&amp;"",B15&amp;"")))</f>
      </c>
      <c r="E15">
        <f>ISERROR(C15)</f>
      </c>
    </row>
    <row r="16">
      <c r="A16" t="str">
        <v>G4</v>
      </c>
      <c r="B16">
        <v>2000</v>
      </c>
      <c r="C16">
        <f>'cn12'!G4</f>
      </c>
      <c r="D16">
        <f>IF(ISERROR(C16),LEFT(B16&amp;"",1)="#",IF(ISNUMBER(C16),AND(ISNUMBER(B16),ABS(C16-B16)&lt;=0.000001*MAX(1,ABS(B16))),EXACT(C16&amp;"",B16&amp;"")))</f>
      </c>
      <c r="E16">
        <f>ISERROR(C16)</f>
      </c>
    </row>
    <row r="17">
      <c r="A17" t="str">
        <v>G5</v>
      </c>
      <c r="B17">
        <v>3000</v>
      </c>
      <c r="C17">
        <f>'cn12'!G5</f>
      </c>
      <c r="D17">
        <f>IF(ISERROR(C17),LEFT(B17&amp;"",1)="#",IF(ISNUMBER(C17),AND(ISNUMBER(B17),ABS(C17-B17)&lt;=0.000001*MAX(1,ABS(B17))),EXACT(C17&amp;"",B17&amp;"")))</f>
      </c>
      <c r="E17">
        <f>ISERROR(C17)</f>
      </c>
    </row>
    <row r="18">
      <c r="A18" t="str">
        <v>G6</v>
      </c>
      <c r="B18">
        <v>1800</v>
      </c>
      <c r="C18">
        <f>'cn12'!G6</f>
      </c>
      <c r="D18">
        <f>IF(ISERROR(C18),LEFT(B18&amp;"",1)="#",IF(ISNUMBER(C18),AND(ISNUMBER(B18),ABS(C18-B18)&lt;=0.000001*MAX(1,ABS(B18))),EXACT(C18&amp;"",B18&amp;"")))</f>
      </c>
      <c r="E18">
        <f>ISERROR(C18)</f>
      </c>
    </row>
    <row r="19">
      <c r="A19" t="str">
        <v>G7</v>
      </c>
      <c r="B19">
        <v>3000</v>
      </c>
      <c r="C19">
        <f>'cn12'!G7</f>
      </c>
      <c r="D19">
        <f>IF(ISERROR(C19),LEFT(B19&amp;"",1)="#",IF(ISNUMBER(C19),AND(ISNUMBER(B19),ABS(C19-B19)&lt;=0.000001*MAX(1,ABS(B19))),EXACT(C19&amp;"",B19&amp;"")))</f>
      </c>
      <c r="E19">
        <f>ISERROR(C19)</f>
      </c>
    </row>
    <row r="20">
      <c r="A20" t="str">
        <v>G8</v>
      </c>
      <c r="B20">
        <v>1800</v>
      </c>
      <c r="C20">
        <f>'cn12'!G8</f>
      </c>
      <c r="D20">
        <f>IF(ISERROR(C20),LEFT(B20&amp;"",1)="#",IF(ISNUMBER(C20),AND(ISNUMBER(B20),ABS(C20-B20)&lt;=0.000001*MAX(1,ABS(B20))),EXACT(C20&amp;"",B20&amp;"")))</f>
      </c>
      <c r="E20">
        <f>ISERROR(C20)</f>
      </c>
    </row>
    <row r="21">
      <c r="A21" t="str">
        <v>G9</v>
      </c>
      <c r="B21">
        <v>1800</v>
      </c>
      <c r="C21">
        <f>'cn12'!G9</f>
      </c>
      <c r="D21">
        <f>IF(ISERROR(C21),LEFT(B21&amp;"",1)="#",IF(ISNUMBER(C21),AND(ISNUMBER(B21),ABS(C21-B21)&lt;=0.000001*MAX(1,ABS(B21))),EXACT(C21&amp;"",B21&amp;"")))</f>
      </c>
      <c r="E21">
        <f>ISERROR(C21)</f>
      </c>
    </row>
    <row r="22">
      <c r="A22" t="str">
        <v>G10</v>
      </c>
      <c r="B22">
        <v>1800</v>
      </c>
      <c r="C22">
        <f>'cn12'!G10</f>
      </c>
      <c r="D22">
        <f>IF(ISERROR(C22),LEFT(B22&amp;"",1)="#",IF(ISNUMBER(C22),AND(ISNUMBER(B22),ABS(C22-B22)&lt;=0.000001*MAX(1,ABS(B22))),EXACT(C22&amp;"",B22&amp;"")))</f>
      </c>
      <c r="E22">
        <f>ISERROR(C22)</f>
      </c>
    </row>
    <row r="23">
      <c r="A23" t="str">
        <v>G11</v>
      </c>
      <c r="B23">
        <v>2500</v>
      </c>
      <c r="C23">
        <f>'cn12'!G11</f>
      </c>
      <c r="D23">
        <f>IF(ISERROR(C23),LEFT(B23&amp;"",1)="#",IF(ISNUMBER(C23),AND(ISNUMBER(B23),ABS(C23-B23)&lt;=0.000001*MAX(1,ABS(B23))),EXACT(C23&amp;"",B23&amp;"")))</f>
      </c>
      <c r="E23">
        <f>ISERROR(C23)</f>
      </c>
    </row>
    <row r="24">
      <c r="A24" t="str">
        <v>G12</v>
      </c>
      <c r="B24">
        <v>3000</v>
      </c>
      <c r="C24">
        <f>'cn12'!G12</f>
      </c>
      <c r="D24">
        <f>IF(ISERROR(C24),LEFT(B24&amp;"",1)="#",IF(ISNUMBER(C24),AND(ISNUMBER(B24),ABS(C24-B24)&lt;=0.000001*MAX(1,ABS(B24))),EXACT(C24&amp;"",B24&amp;"")))</f>
      </c>
      <c r="E24">
        <f>ISERROR(C24)</f>
      </c>
    </row>
    <row r="25">
      <c r="A25" t="str">
        <v>G13</v>
      </c>
      <c r="B25">
        <v>1800</v>
      </c>
      <c r="C25">
        <f>'cn12'!G13</f>
      </c>
      <c r="D25">
        <f>IF(ISERROR(C25),LEFT(B25&amp;"",1)="#",IF(ISNUMBER(C25),AND(ISNUMBER(B25),ABS(C25-B25)&lt;=0.000001*MAX(1,ABS(B25))),EXACT(C25&amp;"",B25&amp;"")))</f>
      </c>
      <c r="E25">
        <f>ISERROR(C25)</f>
      </c>
    </row>
    <row r="26">
      <c r="A26" t="str">
        <v>H2</v>
      </c>
      <c r="B26">
        <v>16200</v>
      </c>
      <c r="C26">
        <f>'cn12'!H2</f>
      </c>
      <c r="D26">
        <f>IF(ISERROR(C26),LEFT(B26&amp;"",1)="#",IF(ISNUMBER(C26),AND(ISNUMBER(B26),ABS(C26-B26)&lt;=0.000001*MAX(1,ABS(B26))),EXACT(C26&amp;"",B26&amp;"")))</f>
      </c>
      <c r="E26">
        <f>ISERROR(C26)</f>
      </c>
    </row>
    <row r="27">
      <c r="A27" t="str">
        <v>H3</v>
      </c>
      <c r="B27">
        <v>7056</v>
      </c>
      <c r="C27">
        <f>'cn12'!H3</f>
      </c>
      <c r="D27">
        <f>IF(ISERROR(C27),LEFT(B27&amp;"",1)="#",IF(ISNUMBER(C27),AND(ISNUMBER(B27),ABS(C27-B27)&lt;=0.000001*MAX(1,ABS(B27))),EXACT(C27&amp;"",B27&amp;"")))</f>
      </c>
      <c r="E27">
        <f>ISERROR(C27)</f>
      </c>
    </row>
    <row r="28">
      <c r="A28" t="str">
        <v>H4</v>
      </c>
      <c r="B28">
        <v>125280</v>
      </c>
      <c r="C28">
        <f>'cn12'!H4</f>
      </c>
      <c r="D28">
        <f>IF(ISERROR(C28),LEFT(B28&amp;"",1)="#",IF(ISNUMBER(C28),AND(ISNUMBER(B28),ABS(C28-B28)&lt;=0.000001*MAX(1,ABS(B28))),EXACT(C28&amp;"",B28&amp;"")))</f>
      </c>
      <c r="E28">
        <f>ISERROR(C28)</f>
      </c>
    </row>
    <row r="29">
      <c r="A29" t="str">
        <v>H5</v>
      </c>
      <c r="B29">
        <v>656100</v>
      </c>
      <c r="C29">
        <f>'cn12'!H5</f>
      </c>
      <c r="D29">
        <f>IF(ISERROR(C29),LEFT(B29&amp;"",1)="#",IF(ISNUMBER(C29),AND(ISNUMBER(B29),ABS(C29-B29)&lt;=0.000001*MAX(1,ABS(B29))),EXACT(C29&amp;"",B29&amp;"")))</f>
      </c>
      <c r="E29">
        <f>ISERROR(C29)</f>
      </c>
    </row>
    <row r="30">
      <c r="A30" t="str">
        <v>H6</v>
      </c>
      <c r="B30">
        <v>33264</v>
      </c>
      <c r="C30">
        <f>'cn12'!H6</f>
      </c>
      <c r="D30">
        <f>IF(ISERROR(C30),LEFT(B30&amp;"",1)="#",IF(ISNUMBER(C30),AND(ISNUMBER(B30),ABS(C30-B30)&lt;=0.000001*MAX(1,ABS(B30))),EXACT(C30&amp;"",B30&amp;"")))</f>
      </c>
      <c r="E30">
        <f>ISERROR(C30)</f>
      </c>
    </row>
    <row r="31">
      <c r="A31" t="str">
        <v>H7</v>
      </c>
      <c r="B31">
        <v>783000</v>
      </c>
      <c r="C31">
        <f>'cn12'!H7</f>
      </c>
      <c r="D31">
        <f>IF(ISERROR(C31),LEFT(B31&amp;"",1)="#",IF(ISNUMBER(C31),AND(ISNUMBER(B31),ABS(C31-B31)&lt;=0.000001*MAX(1,ABS(B31))),EXACT(C31&amp;"",B31&amp;"")))</f>
      </c>
      <c r="E31">
        <f>ISERROR(C31)</f>
      </c>
    </row>
    <row r="32">
      <c r="A32" t="str">
        <v>H8</v>
      </c>
      <c r="B32">
        <v>26136</v>
      </c>
      <c r="C32">
        <f>'cn12'!H8</f>
      </c>
      <c r="D32">
        <f>IF(ISERROR(C32),LEFT(B32&amp;"",1)="#",IF(ISNUMBER(C32),AND(ISNUMBER(B32),ABS(C32-B32)&lt;=0.000001*MAX(1,ABS(B32))),EXACT(C32&amp;"",B32&amp;"")))</f>
      </c>
      <c r="E32">
        <f>ISERROR(C32)</f>
      </c>
    </row>
    <row r="33">
      <c r="A33" t="str">
        <v>H9</v>
      </c>
      <c r="B33">
        <v>11916</v>
      </c>
      <c r="C33">
        <f>'cn12'!H9</f>
      </c>
      <c r="D33">
        <f>IF(ISERROR(C33),LEFT(B33&amp;"",1)="#",IF(ISNUMBER(C33),AND(ISNUMBER(B33),ABS(C33-B33)&lt;=0.000001*MAX(1,ABS(B33))),EXACT(C33&amp;"",B33&amp;"")))</f>
      </c>
      <c r="E33">
        <f>ISERROR(C33)</f>
      </c>
    </row>
    <row r="34">
      <c r="A34" t="str">
        <v>H10</v>
      </c>
      <c r="B34">
        <v>23760</v>
      </c>
      <c r="C34">
        <f>'cn12'!H10</f>
      </c>
      <c r="D34">
        <f>IF(ISERROR(C34),LEFT(B34&amp;"",1)="#",IF(ISNUMBER(C34),AND(ISNUMBER(B34),ABS(C34-B34)&lt;=0.000001*MAX(1,ABS(B34))),EXACT(C34&amp;"",B34&amp;"")))</f>
      </c>
      <c r="E34">
        <f>ISERROR(C34)</f>
      </c>
    </row>
    <row r="35">
      <c r="A35" t="str">
        <v>H11</v>
      </c>
      <c r="B35">
        <v>270000</v>
      </c>
      <c r="C35">
        <f>'cn12'!H11</f>
      </c>
      <c r="D35">
        <f>IF(ISERROR(C35),LEFT(B35&amp;"",1)="#",IF(ISNUMBER(C35),AND(ISNUMBER(B35),ABS(C35-B35)&lt;=0.000001*MAX(1,ABS(B35))),EXACT(C35&amp;"",B35&amp;"")))</f>
      </c>
      <c r="E35">
        <f>ISERROR(C35)</f>
      </c>
    </row>
    <row r="36">
      <c r="A36" t="str">
        <v>H12</v>
      </c>
      <c r="B36">
        <v>652500</v>
      </c>
      <c r="C36">
        <f>'cn12'!H12</f>
      </c>
      <c r="D36">
        <f>IF(ISERROR(C36),LEFT(B36&amp;"",1)="#",IF(ISNUMBER(C36),AND(ISNUMBER(B36),ABS(C36-B36)&lt;=0.000001*MAX(1,ABS(B36))),EXACT(C36&amp;"",B36&amp;"")))</f>
      </c>
      <c r="E36">
        <f>ISERROR(C36)</f>
      </c>
    </row>
    <row r="37">
      <c r="A37" t="str">
        <v>H13</v>
      </c>
      <c r="B37">
        <v>5760</v>
      </c>
      <c r="C37">
        <f>'cn12'!H13</f>
      </c>
      <c r="D37">
        <f>IF(ISERROR(C37),LEFT(B37&amp;"",1)="#",IF(ISNUMBER(C37),AND(ISNUMBER(B37),ABS(C37-B37)&lt;=0.000001*MAX(1,ABS(B37))),EXACT(C37&amp;"",B37&amp;"")))</f>
      </c>
      <c r="E37">
        <f>ISERROR(C37)</f>
      </c>
    </row>
    <row r="38">
      <c r="A38" t="str">
        <v>I2</v>
      </c>
      <c r="B38" t="str">
        <v>IT</v>
      </c>
      <c r="C38">
        <f>'cn12'!I2</f>
      </c>
      <c r="D38">
        <f>IF(ISERROR(C38),LEFT(B38&amp;"",1)="#",IF(ISNUMBER(C38),AND(ISNUMBER(B38),ABS(C38-B38)&lt;=0.000001*MAX(1,ABS(B38))),EXACT(C38&amp;"",B38&amp;"")))</f>
      </c>
      <c r="E38">
        <f>ISERROR(C38)</f>
      </c>
    </row>
    <row r="39">
      <c r="A39" t="str">
        <v>I3</v>
      </c>
      <c r="B39" t="str">
        <v>IT</v>
      </c>
      <c r="C39">
        <f>'cn12'!I3</f>
      </c>
      <c r="D39">
        <f>IF(ISERROR(C39),LEFT(B39&amp;"",1)="#",IF(ISNUMBER(C39),AND(ISNUMBER(B39),ABS(C39-B39)&lt;=0.000001*MAX(1,ABS(B39))),EXACT(C39&amp;"",B39&amp;"")))</f>
      </c>
      <c r="E39">
        <f>ISERROR(C39)</f>
      </c>
    </row>
    <row r="40">
      <c r="A40" t="str">
        <v>I4</v>
      </c>
      <c r="B40" t="str">
        <v>VUA</v>
      </c>
      <c r="C40">
        <f>'cn12'!I4</f>
      </c>
      <c r="D40">
        <f>IF(ISERROR(C40),LEFT(B40&amp;"",1)="#",IF(ISNUMBER(C40),AND(ISNUMBER(B40),ABS(C40-B40)&lt;=0.000001*MAX(1,ABS(B40))),EXACT(C40&amp;"",B40&amp;"")))</f>
      </c>
      <c r="E40">
        <f>ISERROR(C40)</f>
      </c>
    </row>
    <row r="41">
      <c r="A41" t="str">
        <v>I5</v>
      </c>
      <c r="B41" t="str">
        <v>NHIEU</v>
      </c>
      <c r="C41">
        <f>'cn12'!I5</f>
      </c>
      <c r="D41">
        <f>IF(ISERROR(C41),LEFT(B41&amp;"",1)="#",IF(ISNUMBER(C41),AND(ISNUMBER(B41),ABS(C41-B41)&lt;=0.000001*MAX(1,ABS(B41))),EXACT(C41&amp;"",B41&amp;"")))</f>
      </c>
      <c r="E41">
        <f>ISERROR(C41)</f>
      </c>
    </row>
    <row r="42">
      <c r="A42" t="str">
        <v>I6</v>
      </c>
      <c r="B42" t="str">
        <v>IT</v>
      </c>
      <c r="C42">
        <f>'cn12'!I6</f>
      </c>
      <c r="D42">
        <f>IF(ISERROR(C42),LEFT(B42&amp;"",1)="#",IF(ISNUMBER(C42),AND(ISNUMBER(B42),ABS(C42-B42)&lt;=0.000001*MAX(1,ABS(B42))),EXACT(C42&amp;"",B42&amp;"")))</f>
      </c>
      <c r="E42">
        <f>ISERROR(C42)</f>
      </c>
    </row>
    <row r="43">
      <c r="A43" t="str">
        <v>I7</v>
      </c>
      <c r="B43" t="str">
        <v>NHIEU</v>
      </c>
      <c r="C43">
        <f>'cn12'!I7</f>
      </c>
      <c r="D43">
        <f>IF(ISERROR(C43),LEFT(B43&amp;"",1)="#",IF(ISNUMBER(C43),AND(ISNUMBER(B43),ABS(C43-B43)&lt;=0.000001*MAX(1,ABS(B43))),EXACT(C43&amp;"",B43&amp;"")))</f>
      </c>
      <c r="E43">
        <f>ISERROR(C43)</f>
      </c>
    </row>
    <row r="44">
      <c r="A44" t="str">
        <v>I8</v>
      </c>
      <c r="B44" t="str">
        <v>IT</v>
      </c>
      <c r="C44">
        <f>'cn12'!I8</f>
      </c>
      <c r="D44">
        <f>IF(ISERROR(C44),LEFT(B44&amp;"",1)="#",IF(ISNUMBER(C44),AND(ISNUMBER(B44),ABS(C44-B44)&lt;=0.000001*MAX(1,ABS(B44))),EXACT(C44&amp;"",B44&amp;"")))</f>
      </c>
      <c r="E44">
        <f>ISERROR(C44)</f>
      </c>
    </row>
    <row r="45">
      <c r="A45" t="str">
        <v>I9</v>
      </c>
      <c r="B45" t="str">
        <v>IT</v>
      </c>
      <c r="C45">
        <f>'cn12'!I9</f>
      </c>
      <c r="D45">
        <f>IF(ISERROR(C45),LEFT(B45&amp;"",1)="#",IF(ISNUMBER(C45),AND(ISNUMBER(B45),ABS(C45-B45)&lt;=0.000001*MAX(1,ABS(B45))),EXACT(C45&amp;"",B45&amp;"")))</f>
      </c>
      <c r="E45">
        <f>ISERROR(C45)</f>
      </c>
    </row>
    <row r="46">
      <c r="A46" t="str">
        <v>I10</v>
      </c>
      <c r="B46" t="str">
        <v>IT</v>
      </c>
      <c r="C46">
        <f>'cn12'!I10</f>
      </c>
      <c r="D46">
        <f>IF(ISERROR(C46),LEFT(B46&amp;"",1)="#",IF(ISNUMBER(C46),AND(ISNUMBER(B46),ABS(C46-B46)&lt;=0.000001*MAX(1,ABS(B46))),EXACT(C46&amp;"",B46&amp;"")))</f>
      </c>
      <c r="E46">
        <f>ISERROR(C46)</f>
      </c>
    </row>
    <row r="47">
      <c r="A47" t="str">
        <v>I11</v>
      </c>
      <c r="B47" t="str">
        <v>NHIEU</v>
      </c>
      <c r="C47">
        <f>'cn12'!I11</f>
      </c>
      <c r="D47">
        <f>IF(ISERROR(C47),LEFT(B47&amp;"",1)="#",IF(ISNUMBER(C47),AND(ISNUMBER(B47),ABS(C47-B47)&lt;=0.000001*MAX(1,ABS(B47))),EXACT(C47&amp;"",B47&amp;"")))</f>
      </c>
      <c r="E47">
        <f>ISERROR(C47)</f>
      </c>
    </row>
    <row r="48">
      <c r="A48" t="str">
        <v>I12</v>
      </c>
      <c r="B48" t="str">
        <v>NHIEU</v>
      </c>
      <c r="C48">
        <f>'cn12'!I12</f>
      </c>
      <c r="D48">
        <f>IF(ISERROR(C48),LEFT(B48&amp;"",1)="#",IF(ISNUMBER(C48),AND(ISNUMBER(B48),ABS(C48-B48)&lt;=0.000001*MAX(1,ABS(B48))),EXACT(C48&amp;"",B48&amp;"")))</f>
      </c>
      <c r="E48">
        <f>ISERROR(C48)</f>
      </c>
    </row>
    <row r="49">
      <c r="A49" t="str">
        <v>I13</v>
      </c>
      <c r="B49" t="str">
        <v>IT</v>
      </c>
      <c r="C49">
        <f>'cn12'!I13</f>
      </c>
      <c r="D49">
        <f>IF(ISERROR(C49),LEFT(B49&amp;"",1)="#",IF(ISNUMBER(C49),AND(ISNUMBER(B49),ABS(C49-B49)&lt;=0.000001*MAX(1,ABS(B49))),EXACT(C49&amp;"",B49&amp;"")))</f>
      </c>
      <c r="E49">
        <f>ISERROR(C49)</f>
      </c>
    </row>
    <row r="50">
      <c r="A50" t="str">
        <v>Z2</v>
      </c>
      <c r="B50" t="str">
        <v>TB06</v>
      </c>
      <c r="C50">
        <f>'cn12'!Z2</f>
      </c>
      <c r="D50">
        <f>IF(ISERROR(C50),LEFT(B50&amp;"",1)="#",IF(ISNUMBER(C50),AND(ISNUMBER(B50),ABS(C50-B50)&lt;=0.000001*MAX(1,ABS(B50))),EXACT(C50&amp;"",B50&amp;"")))</f>
      </c>
      <c r="E50">
        <f>ISERROR(C50)</f>
      </c>
    </row>
    <row r="51">
      <c r="A51" t="str">
        <v>Z3</v>
      </c>
      <c r="B51">
        <v>2091600</v>
      </c>
      <c r="C51">
        <f>'cn12'!Z3</f>
      </c>
      <c r="D51">
        <f>IF(ISERROR(C51),LEFT(B51&amp;"",1)="#",IF(ISNUMBER(C51),AND(ISNUMBER(B51),ABS(C51-B51)&lt;=0.000001*MAX(1,ABS(B51))),EXACT(C51&amp;"",B51&amp;"")))</f>
      </c>
      <c r="E51">
        <f>ISERROR(C51)</f>
      </c>
    </row>
    <row r="52">
      <c r="A52" t="str">
        <v>Z4</v>
      </c>
      <c r="B52">
        <v>2</v>
      </c>
      <c r="C52">
        <f>'cn12'!Z4</f>
      </c>
      <c r="D52">
        <f>IF(ISERROR(C52),LEFT(B52&amp;"",1)="#",IF(ISNUMBER(C52),AND(ISNUMBER(B52),ABS(C52-B52)&lt;=0.000001*MAX(1,ABS(B52))),EXACT(C52&amp;"",B52&amp;"")))</f>
      </c>
      <c r="E52">
        <f>ISERROR(C52)</f>
      </c>
    </row>
    <row r="53">
      <c r="A53" t="str">
        <v>Z5</v>
      </c>
      <c r="B53">
        <v>9.673333333333334</v>
      </c>
      <c r="C53">
        <f>'cn12'!Z5</f>
      </c>
      <c r="D53">
        <f>IF(ISERROR(C53),LEFT(B53&amp;"",1)="#",IF(ISNUMBER(C53),AND(ISNUMBER(B53),ABS(C53-B53)&lt;=0.000001*MAX(1,ABS(B53))),EXACT(C53&amp;"",B53&amp;"")))</f>
      </c>
      <c r="E53">
        <f>ISERROR(C53)</f>
      </c>
    </row>
    <row r="54">
      <c r="A54" t="str">
        <v>Z6</v>
      </c>
      <c r="B54">
        <v>26136</v>
      </c>
      <c r="C54">
        <f>'cn12'!Z6</f>
      </c>
      <c r="D54">
        <f>IF(ISERROR(C54),LEFT(B54&amp;"",1)="#",IF(ISNUMBER(C54),AND(ISNUMBER(B54),ABS(C54-B54)&lt;=0.000001*MAX(1,ABS(B54))),EXACT(C54&amp;"",B54&amp;"")))</f>
      </c>
      <c r="E54">
        <f>ISERROR(C54)</f>
      </c>
    </row>
    <row r="55">
      <c r="A55" t="str">
        <v>Z7</v>
      </c>
      <c r="B55">
        <v>29700</v>
      </c>
      <c r="C55">
        <f>'cn12'!Z7</f>
      </c>
      <c r="D55">
        <f>IF(ISERROR(C55),LEFT(B55&amp;"",1)="#",IF(ISNUMBER(C55),AND(ISNUMBER(B55),ABS(C55-B55)&lt;=0.000001*MAX(1,ABS(B55))),EXACT(C55&amp;"",B55&amp;"")))</f>
      </c>
      <c r="E55">
        <f>ISERROR(C55)</f>
      </c>
    </row>
    <row r="56">
      <c r="A56" t="str">
        <v>Z8</v>
      </c>
      <c r="B56">
        <v>656100</v>
      </c>
      <c r="C56">
        <f>'cn12'!Z8</f>
      </c>
      <c r="D56">
        <f>IF(ISERROR(C56),LEFT(B56&amp;"",1)="#",IF(ISNUMBER(C56),AND(ISNUMBER(B56),ABS(C56-B56)&lt;=0.000001*MAX(1,ABS(B56))),EXACT(C56&amp;"",B56&amp;"")))</f>
      </c>
      <c r="E56">
        <f>ISERROR(C56)</f>
      </c>
    </row>
    <row r="57">
      <c r="A57" t="str">
        <v>Z9</v>
      </c>
      <c r="B57">
        <v>98.44</v>
      </c>
      <c r="C57">
        <f>'cn12'!Z9</f>
      </c>
      <c r="D57">
        <f>IF(ISERROR(C57),LEFT(B57&amp;"",1)="#",IF(ISNUMBER(C57),AND(ISNUMBER(B57),ABS(C57-B57)&lt;=0.000001*MAX(1,ABS(B57))),EXACT(C57&amp;"",B57&amp;"")))</f>
      </c>
      <c r="E57">
        <f>ISERROR(C57)</f>
      </c>
    </row>
    <row r="58">
      <c r="A58" t="str">
        <v>Z10</v>
      </c>
      <c r="B58">
        <v>2091600</v>
      </c>
      <c r="C58">
        <f>'cn12'!Z10</f>
      </c>
      <c r="D58">
        <f>IF(ISERROR(C58),LEFT(B58&amp;"",1)="#",IF(ISNUMBER(C58),AND(ISNUMBER(B58),ABS(C58-B58)&lt;=0.000001*MAX(1,ABS(B58))),EXACT(C58&amp;"",B58&amp;"")))</f>
      </c>
      <c r="E58">
        <f>ISERROR(C58)</f>
      </c>
    </row>
    <row r="59">
      <c r="A59" t="str">
        <v>Z11</v>
      </c>
      <c r="B59">
        <v>3</v>
      </c>
      <c r="C59">
        <f>'cn12'!Z11</f>
      </c>
      <c r="D59">
        <f>IF(ISERROR(C59),LEFT(B59&amp;"",1)="#",IF(ISNUMBER(C59),AND(ISNUMBER(B59),ABS(C59-B59)&lt;=0.000001*MAX(1,ABS(B59))),EXACT(C59&amp;"",B59&amp;"")))</f>
      </c>
      <c r="E59">
        <f>ISERROR(C59)</f>
      </c>
    </row>
    <row r="60">
      <c r="A60" t="str">
        <v>Z12</v>
      </c>
      <c r="B60">
        <v>2091600</v>
      </c>
      <c r="C60">
        <f>'cn12'!Z12</f>
      </c>
      <c r="D60">
        <f>IF(ISERROR(C60),LEFT(B60&amp;"",1)="#",IF(ISNUMBER(C60),AND(ISNUMBER(B60),ABS(C60-B60)&lt;=0.000001*MAX(1,ABS(B60))),EXACT(C60&amp;"",B60&amp;"")))</f>
      </c>
      <c r="E60">
        <f>ISERROR(C60)</f>
      </c>
    </row>
    <row r="61">
      <c r="A61" t="str">
        <v>Z13</v>
      </c>
      <c r="B61">
        <v>109760</v>
      </c>
      <c r="C61">
        <f>'cn12'!Z13</f>
      </c>
      <c r="D61">
        <f>IF(ISERROR(C61),LEFT(B61&amp;"",1)="#",IF(ISNUMBER(C61),AND(ISNUMBER(B61),ABS(C61-B61)&lt;=0.000001*MAX(1,ABS(B61))),EXACT(C61&amp;"",B61&amp;"")))</f>
      </c>
      <c r="E61">
        <f>ISERROR(C61)</f>
      </c>
    </row>
  </sheetData>
  <ignoredErrors>
    <ignoredError numberStoredAsText="1" sqref="A1:E61"/>
  </ignoredErrors>
</worksheet>
</file>

<file path=xl/worksheets/sheet5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MaTN</v>
      </c>
      <c r="B1" t="str">
        <v>KimLoai</v>
      </c>
      <c r="C1" t="str">
        <v>HoaTri</v>
      </c>
      <c r="D1" t="str">
        <v>I</v>
      </c>
      <c r="E1" t="str">
        <v>tPhut</v>
      </c>
      <c r="F1" t="str">
        <v>M</v>
      </c>
      <c r="G1" t="str">
        <v>DienLuong</v>
      </c>
      <c r="H1" t="str">
        <v>SoMolE</v>
      </c>
      <c r="I1" t="str">
        <v>KhoiLuong</v>
      </c>
      <c r="R1" t="str">
        <v>KimLoai</v>
      </c>
      <c r="S1" t="str">
        <v>KhoiLuongMol</v>
      </c>
      <c r="W1" t="str">
        <v>KimLoai</v>
      </c>
      <c r="Y1" t="str">
        <v>TongHop</v>
      </c>
      <c r="Z1" t="str">
        <v>KetQua</v>
      </c>
    </row>
    <row r="2">
      <c r="A2" t="str">
        <v>DP01</v>
      </c>
      <c r="B2" t="str">
        <v>Cu</v>
      </c>
      <c r="C2">
        <v>2</v>
      </c>
      <c r="D2">
        <v>3</v>
      </c>
      <c r="E2">
        <v>44</v>
      </c>
      <c r="F2">
        <f>VLOOKUP(B2,$R$2:$S$5,2,FALSE)</f>
        <v>64</v>
      </c>
      <c r="G2">
        <f>D2*E2*60</f>
        <v>7920</v>
      </c>
      <c r="H2">
        <f>ROUND(D2*E2*60/96500,5)</f>
        <v>0.08207</v>
      </c>
      <c r="I2">
        <f>ROUND(F2*D2*E2*60/(C2*96500),4)</f>
        <v>2.6263</v>
      </c>
      <c r="R2" t="str">
        <v>Cu</v>
      </c>
      <c r="S2">
        <v>64</v>
      </c>
      <c r="W2" t="str">
        <v>Cu</v>
      </c>
      <c r="Y2" t="str">
        <v>Ma MaTN co KhoiLuong lon nhat</v>
      </c>
      <c r="Z2" t="str">
        <f>INDEX(A2:A13,MATCH(MAX(I2:I13),I2:I13,0))</f>
        <v>DP05</v>
      </c>
    </row>
    <row r="3">
      <c r="A3" t="str">
        <v>DP02</v>
      </c>
      <c r="B3" t="str">
        <v>Ag</v>
      </c>
      <c r="C3">
        <v>1</v>
      </c>
      <c r="D3">
        <v>2</v>
      </c>
      <c r="E3">
        <v>14</v>
      </c>
      <c r="F3">
        <f>VLOOKUP(B3,$R$2:$S$5,2,FALSE)</f>
        <v>108</v>
      </c>
      <c r="G3">
        <f>D3*E3*60</f>
        <v>1680</v>
      </c>
      <c r="H3">
        <f>ROUND(D3*E3*60/96500,5)</f>
        <v>0.01741</v>
      </c>
      <c r="I3">
        <f>ROUND(F3*D3*E3*60/(C3*96500),4)</f>
        <v>1.8802</v>
      </c>
      <c r="R3" t="str">
        <v>Ag</v>
      </c>
      <c r="S3">
        <v>108</v>
      </c>
      <c r="Y3" t="str">
        <v>Tong KhoiLuong khi KimLoai = Cu</v>
      </c>
      <c r="Z3">
        <f>SUMIF(B2:B13,"Cu",I2:I13)</f>
        <v>3.5614</v>
      </c>
    </row>
    <row r="4">
      <c r="A4" t="str">
        <v>DP03</v>
      </c>
      <c r="B4" t="str">
        <v>Zn</v>
      </c>
      <c r="C4">
        <v>2</v>
      </c>
      <c r="D4">
        <v>1</v>
      </c>
      <c r="E4">
        <v>81</v>
      </c>
      <c r="F4">
        <f>VLOOKUP(B4,$R$2:$S$5,2,FALSE)</f>
        <v>65</v>
      </c>
      <c r="G4">
        <f>D4*E4*60</f>
        <v>4860</v>
      </c>
      <c r="H4">
        <f>ROUND(D4*E4*60/96500,5)</f>
        <v>0.05036</v>
      </c>
      <c r="I4">
        <f>ROUND(F4*D4*E4*60/(C4*96500),4)</f>
        <v>1.6368</v>
      </c>
      <c r="R4" t="str">
        <v>Zn</v>
      </c>
      <c r="S4">
        <v>65</v>
      </c>
      <c r="Y4" t="str">
        <v>So dong KimLoai = Zn, I &gt;=3</v>
      </c>
      <c r="Z4">
        <f>COUNTIFS(B2:B13,"Zn",D2:D13,"&gt;=3")</f>
        <v>0</v>
      </c>
    </row>
    <row r="5">
      <c r="A5" t="str">
        <v>DP04</v>
      </c>
      <c r="B5" t="str">
        <v>Ni</v>
      </c>
      <c r="C5">
        <v>2</v>
      </c>
      <c r="D5">
        <v>1</v>
      </c>
      <c r="E5">
        <v>81</v>
      </c>
      <c r="F5">
        <f>VLOOKUP(B5,$R$2:$S$5,2,FALSE)</f>
        <v>59</v>
      </c>
      <c r="G5">
        <f>D5*E5*60</f>
        <v>4860</v>
      </c>
      <c r="H5">
        <f>ROUND(D5*E5*60/96500,5)</f>
        <v>0.05036</v>
      </c>
      <c r="I5">
        <f>ROUND(F5*D5*E5*60/(C5*96500),4)</f>
        <v>1.4857</v>
      </c>
      <c r="R5" t="str">
        <v>Ni</v>
      </c>
      <c r="S5">
        <v>59</v>
      </c>
      <c r="Y5" t="str">
        <v>SoMolE trung binh khi KimLoai = Ni</v>
      </c>
      <c r="Z5">
        <f>AVERAGEIF(B2:B13,"Ni",H2:H13)</f>
        <v>0.10209399999999999</v>
      </c>
    </row>
    <row r="6">
      <c r="A6" t="str">
        <v>DP05</v>
      </c>
      <c r="B6" t="str">
        <v>Ag</v>
      </c>
      <c r="C6">
        <v>1</v>
      </c>
      <c r="D6">
        <v>3</v>
      </c>
      <c r="E6">
        <v>61</v>
      </c>
      <c r="F6">
        <f>VLOOKUP(B6,$R$2:$S$5,2,FALSE)</f>
        <v>108</v>
      </c>
      <c r="G6">
        <f>D6*E6*60</f>
        <v>10980</v>
      </c>
      <c r="H6">
        <f>ROUND(D6*E6*60/96500,5)</f>
        <v>0.11378</v>
      </c>
      <c r="I6">
        <f>ROUND(F6*D6*E6*60/(C6*96500),4)</f>
        <v>12.2885</v>
      </c>
      <c r="Y6" t="str">
        <v>KhoiLuong lon nhat khi KimLoai = Ag</v>
      </c>
      <c r="Z6">
        <f>_xlfn.MAXIFS(I2:I13,B2:B13,"Ag")</f>
        <v>12.2885</v>
      </c>
    </row>
    <row r="7">
      <c r="A7" t="str">
        <v>DP06</v>
      </c>
      <c r="B7" t="str">
        <v>Ag</v>
      </c>
      <c r="C7">
        <v>1</v>
      </c>
      <c r="D7">
        <v>2</v>
      </c>
      <c r="E7">
        <v>77</v>
      </c>
      <c r="F7">
        <f>VLOOKUP(B7,$R$2:$S$5,2,FALSE)</f>
        <v>108</v>
      </c>
      <c r="G7">
        <f>D7*E7*60</f>
        <v>9240</v>
      </c>
      <c r="H7">
        <f>ROUND(D7*E7*60/96500,5)</f>
        <v>0.09575</v>
      </c>
      <c r="I7">
        <f>ROUND(F7*D7*E7*60/(C7*96500),4)</f>
        <v>10.3411</v>
      </c>
      <c r="Y7" t="str">
        <v>KhoiLuong trung vi</v>
      </c>
      <c r="Z7">
        <f>MEDIAN(I2:I13)</f>
        <v>2.52205</v>
      </c>
    </row>
    <row r="8">
      <c r="A8" t="str">
        <v>DP07</v>
      </c>
      <c r="B8" t="str">
        <v>Ni</v>
      </c>
      <c r="C8">
        <v>2</v>
      </c>
      <c r="D8">
        <v>5</v>
      </c>
      <c r="E8">
        <v>27</v>
      </c>
      <c r="F8">
        <f>VLOOKUP(B8,$R$2:$S$5,2,FALSE)</f>
        <v>59</v>
      </c>
      <c r="G8">
        <f>D8*E8*60</f>
        <v>8100</v>
      </c>
      <c r="H8">
        <f>ROUND(D8*E8*60/96500,5)</f>
        <v>0.08394</v>
      </c>
      <c r="I8">
        <f>ROUND(F8*D8*E8*60/(C8*96500),4)</f>
        <v>2.4762</v>
      </c>
      <c r="Y8" t="str">
        <v>KhoiLuong lon thu hai</v>
      </c>
      <c r="Z8">
        <f>LARGE(I2:I13,2)</f>
        <v>10.3411</v>
      </c>
    </row>
    <row r="9">
      <c r="A9" t="str">
        <v>DP08</v>
      </c>
      <c r="B9" t="str">
        <v>Ni</v>
      </c>
      <c r="C9">
        <v>2</v>
      </c>
      <c r="D9">
        <v>5</v>
      </c>
      <c r="E9">
        <v>28</v>
      </c>
      <c r="F9">
        <f>VLOOKUP(B9,$R$2:$S$5,2,FALSE)</f>
        <v>59</v>
      </c>
      <c r="G9">
        <f>D9*E9*60</f>
        <v>8400</v>
      </c>
      <c r="H9">
        <f>ROUND(D9*E9*60/96500,5)</f>
        <v>0.08705</v>
      </c>
      <c r="I9">
        <f>ROUND(F9*D9*E9*60/(C9*96500),4)</f>
        <v>2.5679</v>
      </c>
      <c r="Y9" t="str">
        <v>Do lech chuan KhoiLuong</v>
      </c>
      <c r="Z9">
        <f>ROUND(STDEV(I2:I13),3)</f>
        <v>3.784</v>
      </c>
    </row>
    <row r="10">
      <c r="A10" t="str">
        <v>DP09</v>
      </c>
      <c r="B10" t="str">
        <v>Ni</v>
      </c>
      <c r="C10">
        <v>2</v>
      </c>
      <c r="D10">
        <v>5</v>
      </c>
      <c r="E10">
        <v>27</v>
      </c>
      <c r="F10">
        <f>VLOOKUP(B10,$R$2:$S$5,2,FALSE)</f>
        <v>59</v>
      </c>
      <c r="G10">
        <f>D10*E10*60</f>
        <v>8100</v>
      </c>
      <c r="H10">
        <f>ROUND(D10*E10*60/96500,5)</f>
        <v>0.08394</v>
      </c>
      <c r="I10">
        <f>ROUND(F10*D10*E10*60/(C10*96500),4)</f>
        <v>2.4762</v>
      </c>
      <c r="Y10" t="str">
        <v>Tong KhoiLuong theo tieu chi W1:W2</v>
      </c>
      <c r="Z10">
        <f>DSUM(A1:I13,"KhoiLuong",W1:W2)</f>
        <v>3.5614</v>
      </c>
    </row>
    <row r="11">
      <c r="A11" t="str">
        <v>DP10</v>
      </c>
      <c r="B11" t="str">
        <v>Ag</v>
      </c>
      <c r="C11">
        <v>1</v>
      </c>
      <c r="D11">
        <v>2</v>
      </c>
      <c r="E11">
        <v>55</v>
      </c>
      <c r="F11">
        <f>VLOOKUP(B11,$R$2:$S$5,2,FALSE)</f>
        <v>108</v>
      </c>
      <c r="G11">
        <f>D11*E11*60</f>
        <v>6600</v>
      </c>
      <c r="H11">
        <f>ROUND(D11*E11*60/96500,5)</f>
        <v>0.06839</v>
      </c>
      <c r="I11">
        <f>ROUND(F11*D11*E11*60/(C11*96500),4)</f>
        <v>7.3865</v>
      </c>
      <c r="Y11" t="str">
        <v>So dong theo tieu chi W1:W2</v>
      </c>
      <c r="Z11">
        <f>DCOUNT(A1:I13,"KhoiLuong",W1:W2)</f>
        <v>2</v>
      </c>
    </row>
    <row r="12">
      <c r="A12" t="str">
        <v>DP11</v>
      </c>
      <c r="B12" t="str">
        <v>Cu</v>
      </c>
      <c r="C12">
        <v>2</v>
      </c>
      <c r="D12">
        <v>1</v>
      </c>
      <c r="E12">
        <v>47</v>
      </c>
      <c r="F12">
        <f>VLOOKUP(B12,$R$2:$S$5,2,FALSE)</f>
        <v>64</v>
      </c>
      <c r="G12">
        <f>D12*E12*60</f>
        <v>2820</v>
      </c>
      <c r="H12">
        <f>ROUND(D12*E12*60/96500,5)</f>
        <v>0.02922</v>
      </c>
      <c r="I12">
        <f>ROUND(F12*D12*E12*60/(C12*96500),4)</f>
        <v>0.9351</v>
      </c>
      <c r="Y12" t="str">
        <v>Tong KhoiLuong khi KimLoai = Cu (SUMPRODUCT)</v>
      </c>
      <c r="Z12">
        <f>SUMPRODUCT((B2:B13="Cu")*I2:I13)</f>
        <v>3.5614</v>
      </c>
    </row>
    <row r="13">
      <c r="A13" t="str">
        <v>DP12</v>
      </c>
      <c r="B13" t="str">
        <v>Ni</v>
      </c>
      <c r="C13">
        <v>2</v>
      </c>
      <c r="D13">
        <v>5</v>
      </c>
      <c r="E13">
        <v>66</v>
      </c>
      <c r="F13">
        <f>VLOOKUP(B13,$R$2:$S$5,2,FALSE)</f>
        <v>59</v>
      </c>
      <c r="G13">
        <f>D13*E13*60</f>
        <v>19800</v>
      </c>
      <c r="H13">
        <f>ROUND(D13*E13*60/96500,5)</f>
        <v>0.20518</v>
      </c>
      <c r="I13">
        <f>ROUND(F13*D13*E13*60/(C13*96500),4)</f>
        <v>6.0528</v>
      </c>
      <c r="Y13" t="str">
        <v>Tong I x tPhut</v>
      </c>
      <c r="Z13">
        <f>SUMPRODUCT(D2:D13,E2:E13)</f>
        <v>1556</v>
      </c>
    </row>
  </sheetData>
  <ignoredErrors>
    <ignoredError numberStoredAsText="1" sqref="A1:Z13"/>
  </ignoredErrors>
</worksheet>
</file>

<file path=xl/worksheets/sheet53.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64</v>
      </c>
      <c r="C2">
        <f>'hoa12'!F2</f>
      </c>
      <c r="D2">
        <f>IF(ISERROR(C2),LEFT(B2&amp;"",1)="#",IF(ISNUMBER(C2),AND(ISNUMBER(B2),ABS(C2-B2)&lt;=0.000001*MAX(1,ABS(B2))),EXACT(C2&amp;"",B2&amp;"")))</f>
      </c>
      <c r="E2">
        <f>ISERROR(C2)</f>
      </c>
    </row>
    <row r="3">
      <c r="A3" t="str">
        <v>F3</v>
      </c>
      <c r="B3">
        <v>108</v>
      </c>
      <c r="C3">
        <f>'hoa12'!F3</f>
      </c>
      <c r="D3">
        <f>IF(ISERROR(C3),LEFT(B3&amp;"",1)="#",IF(ISNUMBER(C3),AND(ISNUMBER(B3),ABS(C3-B3)&lt;=0.000001*MAX(1,ABS(B3))),EXACT(C3&amp;"",B3&amp;"")))</f>
      </c>
      <c r="E3">
        <f>ISERROR(C3)</f>
      </c>
    </row>
    <row r="4">
      <c r="A4" t="str">
        <v>F4</v>
      </c>
      <c r="B4">
        <v>65</v>
      </c>
      <c r="C4">
        <f>'hoa12'!F4</f>
      </c>
      <c r="D4">
        <f>IF(ISERROR(C4),LEFT(B4&amp;"",1)="#",IF(ISNUMBER(C4),AND(ISNUMBER(B4),ABS(C4-B4)&lt;=0.000001*MAX(1,ABS(B4))),EXACT(C4&amp;"",B4&amp;"")))</f>
      </c>
      <c r="E4">
        <f>ISERROR(C4)</f>
      </c>
    </row>
    <row r="5">
      <c r="A5" t="str">
        <v>F5</v>
      </c>
      <c r="B5">
        <v>59</v>
      </c>
      <c r="C5">
        <f>'hoa12'!F5</f>
      </c>
      <c r="D5">
        <f>IF(ISERROR(C5),LEFT(B5&amp;"",1)="#",IF(ISNUMBER(C5),AND(ISNUMBER(B5),ABS(C5-B5)&lt;=0.000001*MAX(1,ABS(B5))),EXACT(C5&amp;"",B5&amp;"")))</f>
      </c>
      <c r="E5">
        <f>ISERROR(C5)</f>
      </c>
    </row>
    <row r="6">
      <c r="A6" t="str">
        <v>F6</v>
      </c>
      <c r="B6">
        <v>108</v>
      </c>
      <c r="C6">
        <f>'hoa12'!F6</f>
      </c>
      <c r="D6">
        <f>IF(ISERROR(C6),LEFT(B6&amp;"",1)="#",IF(ISNUMBER(C6),AND(ISNUMBER(B6),ABS(C6-B6)&lt;=0.000001*MAX(1,ABS(B6))),EXACT(C6&amp;"",B6&amp;"")))</f>
      </c>
      <c r="E6">
        <f>ISERROR(C6)</f>
      </c>
    </row>
    <row r="7">
      <c r="A7" t="str">
        <v>F7</v>
      </c>
      <c r="B7">
        <v>108</v>
      </c>
      <c r="C7">
        <f>'hoa12'!F7</f>
      </c>
      <c r="D7">
        <f>IF(ISERROR(C7),LEFT(B7&amp;"",1)="#",IF(ISNUMBER(C7),AND(ISNUMBER(B7),ABS(C7-B7)&lt;=0.000001*MAX(1,ABS(B7))),EXACT(C7&amp;"",B7&amp;"")))</f>
      </c>
      <c r="E7">
        <f>ISERROR(C7)</f>
      </c>
    </row>
    <row r="8">
      <c r="A8" t="str">
        <v>F8</v>
      </c>
      <c r="B8">
        <v>59</v>
      </c>
      <c r="C8">
        <f>'hoa12'!F8</f>
      </c>
      <c r="D8">
        <f>IF(ISERROR(C8),LEFT(B8&amp;"",1)="#",IF(ISNUMBER(C8),AND(ISNUMBER(B8),ABS(C8-B8)&lt;=0.000001*MAX(1,ABS(B8))),EXACT(C8&amp;"",B8&amp;"")))</f>
      </c>
      <c r="E8">
        <f>ISERROR(C8)</f>
      </c>
    </row>
    <row r="9">
      <c r="A9" t="str">
        <v>F9</v>
      </c>
      <c r="B9">
        <v>59</v>
      </c>
      <c r="C9">
        <f>'hoa12'!F9</f>
      </c>
      <c r="D9">
        <f>IF(ISERROR(C9),LEFT(B9&amp;"",1)="#",IF(ISNUMBER(C9),AND(ISNUMBER(B9),ABS(C9-B9)&lt;=0.000001*MAX(1,ABS(B9))),EXACT(C9&amp;"",B9&amp;"")))</f>
      </c>
      <c r="E9">
        <f>ISERROR(C9)</f>
      </c>
    </row>
    <row r="10">
      <c r="A10" t="str">
        <v>F10</v>
      </c>
      <c r="B10">
        <v>59</v>
      </c>
      <c r="C10">
        <f>'hoa12'!F10</f>
      </c>
      <c r="D10">
        <f>IF(ISERROR(C10),LEFT(B10&amp;"",1)="#",IF(ISNUMBER(C10),AND(ISNUMBER(B10),ABS(C10-B10)&lt;=0.000001*MAX(1,ABS(B10))),EXACT(C10&amp;"",B10&amp;"")))</f>
      </c>
      <c r="E10">
        <f>ISERROR(C10)</f>
      </c>
    </row>
    <row r="11">
      <c r="A11" t="str">
        <v>F11</v>
      </c>
      <c r="B11">
        <v>108</v>
      </c>
      <c r="C11">
        <f>'hoa12'!F11</f>
      </c>
      <c r="D11">
        <f>IF(ISERROR(C11),LEFT(B11&amp;"",1)="#",IF(ISNUMBER(C11),AND(ISNUMBER(B11),ABS(C11-B11)&lt;=0.000001*MAX(1,ABS(B11))),EXACT(C11&amp;"",B11&amp;"")))</f>
      </c>
      <c r="E11">
        <f>ISERROR(C11)</f>
      </c>
    </row>
    <row r="12">
      <c r="A12" t="str">
        <v>F12</v>
      </c>
      <c r="B12">
        <v>64</v>
      </c>
      <c r="C12">
        <f>'hoa12'!F12</f>
      </c>
      <c r="D12">
        <f>IF(ISERROR(C12),LEFT(B12&amp;"",1)="#",IF(ISNUMBER(C12),AND(ISNUMBER(B12),ABS(C12-B12)&lt;=0.000001*MAX(1,ABS(B12))),EXACT(C12&amp;"",B12&amp;"")))</f>
      </c>
      <c r="E12">
        <f>ISERROR(C12)</f>
      </c>
    </row>
    <row r="13">
      <c r="A13" t="str">
        <v>F13</v>
      </c>
      <c r="B13">
        <v>59</v>
      </c>
      <c r="C13">
        <f>'hoa12'!F13</f>
      </c>
      <c r="D13">
        <f>IF(ISERROR(C13),LEFT(B13&amp;"",1)="#",IF(ISNUMBER(C13),AND(ISNUMBER(B13),ABS(C13-B13)&lt;=0.000001*MAX(1,ABS(B13))),EXACT(C13&amp;"",B13&amp;"")))</f>
      </c>
      <c r="E13">
        <f>ISERROR(C13)</f>
      </c>
    </row>
    <row r="14">
      <c r="A14" t="str">
        <v>G2</v>
      </c>
      <c r="B14">
        <v>7920</v>
      </c>
      <c r="C14">
        <f>'hoa12'!G2</f>
      </c>
      <c r="D14">
        <f>IF(ISERROR(C14),LEFT(B14&amp;"",1)="#",IF(ISNUMBER(C14),AND(ISNUMBER(B14),ABS(C14-B14)&lt;=0.000001*MAX(1,ABS(B14))),EXACT(C14&amp;"",B14&amp;"")))</f>
      </c>
      <c r="E14">
        <f>ISERROR(C14)</f>
      </c>
    </row>
    <row r="15">
      <c r="A15" t="str">
        <v>G3</v>
      </c>
      <c r="B15">
        <v>1680</v>
      </c>
      <c r="C15">
        <f>'hoa12'!G3</f>
      </c>
      <c r="D15">
        <f>IF(ISERROR(C15),LEFT(B15&amp;"",1)="#",IF(ISNUMBER(C15),AND(ISNUMBER(B15),ABS(C15-B15)&lt;=0.000001*MAX(1,ABS(B15))),EXACT(C15&amp;"",B15&amp;"")))</f>
      </c>
      <c r="E15">
        <f>ISERROR(C15)</f>
      </c>
    </row>
    <row r="16">
      <c r="A16" t="str">
        <v>G4</v>
      </c>
      <c r="B16">
        <v>4860</v>
      </c>
      <c r="C16">
        <f>'hoa12'!G4</f>
      </c>
      <c r="D16">
        <f>IF(ISERROR(C16),LEFT(B16&amp;"",1)="#",IF(ISNUMBER(C16),AND(ISNUMBER(B16),ABS(C16-B16)&lt;=0.000001*MAX(1,ABS(B16))),EXACT(C16&amp;"",B16&amp;"")))</f>
      </c>
      <c r="E16">
        <f>ISERROR(C16)</f>
      </c>
    </row>
    <row r="17">
      <c r="A17" t="str">
        <v>G5</v>
      </c>
      <c r="B17">
        <v>4860</v>
      </c>
      <c r="C17">
        <f>'hoa12'!G5</f>
      </c>
      <c r="D17">
        <f>IF(ISERROR(C17),LEFT(B17&amp;"",1)="#",IF(ISNUMBER(C17),AND(ISNUMBER(B17),ABS(C17-B17)&lt;=0.000001*MAX(1,ABS(B17))),EXACT(C17&amp;"",B17&amp;"")))</f>
      </c>
      <c r="E17">
        <f>ISERROR(C17)</f>
      </c>
    </row>
    <row r="18">
      <c r="A18" t="str">
        <v>G6</v>
      </c>
      <c r="B18">
        <v>10980</v>
      </c>
      <c r="C18">
        <f>'hoa12'!G6</f>
      </c>
      <c r="D18">
        <f>IF(ISERROR(C18),LEFT(B18&amp;"",1)="#",IF(ISNUMBER(C18),AND(ISNUMBER(B18),ABS(C18-B18)&lt;=0.000001*MAX(1,ABS(B18))),EXACT(C18&amp;"",B18&amp;"")))</f>
      </c>
      <c r="E18">
        <f>ISERROR(C18)</f>
      </c>
    </row>
    <row r="19">
      <c r="A19" t="str">
        <v>G7</v>
      </c>
      <c r="B19">
        <v>9240</v>
      </c>
      <c r="C19">
        <f>'hoa12'!G7</f>
      </c>
      <c r="D19">
        <f>IF(ISERROR(C19),LEFT(B19&amp;"",1)="#",IF(ISNUMBER(C19),AND(ISNUMBER(B19),ABS(C19-B19)&lt;=0.000001*MAX(1,ABS(B19))),EXACT(C19&amp;"",B19&amp;"")))</f>
      </c>
      <c r="E19">
        <f>ISERROR(C19)</f>
      </c>
    </row>
    <row r="20">
      <c r="A20" t="str">
        <v>G8</v>
      </c>
      <c r="B20">
        <v>8100</v>
      </c>
      <c r="C20">
        <f>'hoa12'!G8</f>
      </c>
      <c r="D20">
        <f>IF(ISERROR(C20),LEFT(B20&amp;"",1)="#",IF(ISNUMBER(C20),AND(ISNUMBER(B20),ABS(C20-B20)&lt;=0.000001*MAX(1,ABS(B20))),EXACT(C20&amp;"",B20&amp;"")))</f>
      </c>
      <c r="E20">
        <f>ISERROR(C20)</f>
      </c>
    </row>
    <row r="21">
      <c r="A21" t="str">
        <v>G9</v>
      </c>
      <c r="B21">
        <v>8400</v>
      </c>
      <c r="C21">
        <f>'hoa12'!G9</f>
      </c>
      <c r="D21">
        <f>IF(ISERROR(C21),LEFT(B21&amp;"",1)="#",IF(ISNUMBER(C21),AND(ISNUMBER(B21),ABS(C21-B21)&lt;=0.000001*MAX(1,ABS(B21))),EXACT(C21&amp;"",B21&amp;"")))</f>
      </c>
      <c r="E21">
        <f>ISERROR(C21)</f>
      </c>
    </row>
    <row r="22">
      <c r="A22" t="str">
        <v>G10</v>
      </c>
      <c r="B22">
        <v>8100</v>
      </c>
      <c r="C22">
        <f>'hoa12'!G10</f>
      </c>
      <c r="D22">
        <f>IF(ISERROR(C22),LEFT(B22&amp;"",1)="#",IF(ISNUMBER(C22),AND(ISNUMBER(B22),ABS(C22-B22)&lt;=0.000001*MAX(1,ABS(B22))),EXACT(C22&amp;"",B22&amp;"")))</f>
      </c>
      <c r="E22">
        <f>ISERROR(C22)</f>
      </c>
    </row>
    <row r="23">
      <c r="A23" t="str">
        <v>G11</v>
      </c>
      <c r="B23">
        <v>6600</v>
      </c>
      <c r="C23">
        <f>'hoa12'!G11</f>
      </c>
      <c r="D23">
        <f>IF(ISERROR(C23),LEFT(B23&amp;"",1)="#",IF(ISNUMBER(C23),AND(ISNUMBER(B23),ABS(C23-B23)&lt;=0.000001*MAX(1,ABS(B23))),EXACT(C23&amp;"",B23&amp;"")))</f>
      </c>
      <c r="E23">
        <f>ISERROR(C23)</f>
      </c>
    </row>
    <row r="24">
      <c r="A24" t="str">
        <v>G12</v>
      </c>
      <c r="B24">
        <v>2820</v>
      </c>
      <c r="C24">
        <f>'hoa12'!G12</f>
      </c>
      <c r="D24">
        <f>IF(ISERROR(C24),LEFT(B24&amp;"",1)="#",IF(ISNUMBER(C24),AND(ISNUMBER(B24),ABS(C24-B24)&lt;=0.000001*MAX(1,ABS(B24))),EXACT(C24&amp;"",B24&amp;"")))</f>
      </c>
      <c r="E24">
        <f>ISERROR(C24)</f>
      </c>
    </row>
    <row r="25">
      <c r="A25" t="str">
        <v>G13</v>
      </c>
      <c r="B25">
        <v>19800</v>
      </c>
      <c r="C25">
        <f>'hoa12'!G13</f>
      </c>
      <c r="D25">
        <f>IF(ISERROR(C25),LEFT(B25&amp;"",1)="#",IF(ISNUMBER(C25),AND(ISNUMBER(B25),ABS(C25-B25)&lt;=0.000001*MAX(1,ABS(B25))),EXACT(C25&amp;"",B25&amp;"")))</f>
      </c>
      <c r="E25">
        <f>ISERROR(C25)</f>
      </c>
    </row>
    <row r="26">
      <c r="A26" t="str">
        <v>H2</v>
      </c>
      <c r="B26">
        <v>0.08207</v>
      </c>
      <c r="C26">
        <f>'hoa12'!H2</f>
      </c>
      <c r="D26">
        <f>IF(ISERROR(C26),LEFT(B26&amp;"",1)="#",IF(ISNUMBER(C26),AND(ISNUMBER(B26),ABS(C26-B26)&lt;=0.000001*MAX(1,ABS(B26))),EXACT(C26&amp;"",B26&amp;"")))</f>
      </c>
      <c r="E26">
        <f>ISERROR(C26)</f>
      </c>
    </row>
    <row r="27">
      <c r="A27" t="str">
        <v>H3</v>
      </c>
      <c r="B27">
        <v>0.01741</v>
      </c>
      <c r="C27">
        <f>'hoa12'!H3</f>
      </c>
      <c r="D27">
        <f>IF(ISERROR(C27),LEFT(B27&amp;"",1)="#",IF(ISNUMBER(C27),AND(ISNUMBER(B27),ABS(C27-B27)&lt;=0.000001*MAX(1,ABS(B27))),EXACT(C27&amp;"",B27&amp;"")))</f>
      </c>
      <c r="E27">
        <f>ISERROR(C27)</f>
      </c>
    </row>
    <row r="28">
      <c r="A28" t="str">
        <v>H4</v>
      </c>
      <c r="B28">
        <v>0.05036</v>
      </c>
      <c r="C28">
        <f>'hoa12'!H4</f>
      </c>
      <c r="D28">
        <f>IF(ISERROR(C28),LEFT(B28&amp;"",1)="#",IF(ISNUMBER(C28),AND(ISNUMBER(B28),ABS(C28-B28)&lt;=0.000001*MAX(1,ABS(B28))),EXACT(C28&amp;"",B28&amp;"")))</f>
      </c>
      <c r="E28">
        <f>ISERROR(C28)</f>
      </c>
    </row>
    <row r="29">
      <c r="A29" t="str">
        <v>H5</v>
      </c>
      <c r="B29">
        <v>0.05036</v>
      </c>
      <c r="C29">
        <f>'hoa12'!H5</f>
      </c>
      <c r="D29">
        <f>IF(ISERROR(C29),LEFT(B29&amp;"",1)="#",IF(ISNUMBER(C29),AND(ISNUMBER(B29),ABS(C29-B29)&lt;=0.000001*MAX(1,ABS(B29))),EXACT(C29&amp;"",B29&amp;"")))</f>
      </c>
      <c r="E29">
        <f>ISERROR(C29)</f>
      </c>
    </row>
    <row r="30">
      <c r="A30" t="str">
        <v>H6</v>
      </c>
      <c r="B30">
        <v>0.11378</v>
      </c>
      <c r="C30">
        <f>'hoa12'!H6</f>
      </c>
      <c r="D30">
        <f>IF(ISERROR(C30),LEFT(B30&amp;"",1)="#",IF(ISNUMBER(C30),AND(ISNUMBER(B30),ABS(C30-B30)&lt;=0.000001*MAX(1,ABS(B30))),EXACT(C30&amp;"",B30&amp;"")))</f>
      </c>
      <c r="E30">
        <f>ISERROR(C30)</f>
      </c>
    </row>
    <row r="31">
      <c r="A31" t="str">
        <v>H7</v>
      </c>
      <c r="B31">
        <v>0.09575</v>
      </c>
      <c r="C31">
        <f>'hoa12'!H7</f>
      </c>
      <c r="D31">
        <f>IF(ISERROR(C31),LEFT(B31&amp;"",1)="#",IF(ISNUMBER(C31),AND(ISNUMBER(B31),ABS(C31-B31)&lt;=0.000001*MAX(1,ABS(B31))),EXACT(C31&amp;"",B31&amp;"")))</f>
      </c>
      <c r="E31">
        <f>ISERROR(C31)</f>
      </c>
    </row>
    <row r="32">
      <c r="A32" t="str">
        <v>H8</v>
      </c>
      <c r="B32">
        <v>0.08394</v>
      </c>
      <c r="C32">
        <f>'hoa12'!H8</f>
      </c>
      <c r="D32">
        <f>IF(ISERROR(C32),LEFT(B32&amp;"",1)="#",IF(ISNUMBER(C32),AND(ISNUMBER(B32),ABS(C32-B32)&lt;=0.000001*MAX(1,ABS(B32))),EXACT(C32&amp;"",B32&amp;"")))</f>
      </c>
      <c r="E32">
        <f>ISERROR(C32)</f>
      </c>
    </row>
    <row r="33">
      <c r="A33" t="str">
        <v>H9</v>
      </c>
      <c r="B33">
        <v>0.08705</v>
      </c>
      <c r="C33">
        <f>'hoa12'!H9</f>
      </c>
      <c r="D33">
        <f>IF(ISERROR(C33),LEFT(B33&amp;"",1)="#",IF(ISNUMBER(C33),AND(ISNUMBER(B33),ABS(C33-B33)&lt;=0.000001*MAX(1,ABS(B33))),EXACT(C33&amp;"",B33&amp;"")))</f>
      </c>
      <c r="E33">
        <f>ISERROR(C33)</f>
      </c>
    </row>
    <row r="34">
      <c r="A34" t="str">
        <v>H10</v>
      </c>
      <c r="B34">
        <v>0.08394</v>
      </c>
      <c r="C34">
        <f>'hoa12'!H10</f>
      </c>
      <c r="D34">
        <f>IF(ISERROR(C34),LEFT(B34&amp;"",1)="#",IF(ISNUMBER(C34),AND(ISNUMBER(B34),ABS(C34-B34)&lt;=0.000001*MAX(1,ABS(B34))),EXACT(C34&amp;"",B34&amp;"")))</f>
      </c>
      <c r="E34">
        <f>ISERROR(C34)</f>
      </c>
    </row>
    <row r="35">
      <c r="A35" t="str">
        <v>H11</v>
      </c>
      <c r="B35">
        <v>0.06839</v>
      </c>
      <c r="C35">
        <f>'hoa12'!H11</f>
      </c>
      <c r="D35">
        <f>IF(ISERROR(C35),LEFT(B35&amp;"",1)="#",IF(ISNUMBER(C35),AND(ISNUMBER(B35),ABS(C35-B35)&lt;=0.000001*MAX(1,ABS(B35))),EXACT(C35&amp;"",B35&amp;"")))</f>
      </c>
      <c r="E35">
        <f>ISERROR(C35)</f>
      </c>
    </row>
    <row r="36">
      <c r="A36" t="str">
        <v>H12</v>
      </c>
      <c r="B36">
        <v>0.02922</v>
      </c>
      <c r="C36">
        <f>'hoa12'!H12</f>
      </c>
      <c r="D36">
        <f>IF(ISERROR(C36),LEFT(B36&amp;"",1)="#",IF(ISNUMBER(C36),AND(ISNUMBER(B36),ABS(C36-B36)&lt;=0.000001*MAX(1,ABS(B36))),EXACT(C36&amp;"",B36&amp;"")))</f>
      </c>
      <c r="E36">
        <f>ISERROR(C36)</f>
      </c>
    </row>
    <row r="37">
      <c r="A37" t="str">
        <v>H13</v>
      </c>
      <c r="B37">
        <v>0.20518</v>
      </c>
      <c r="C37">
        <f>'hoa12'!H13</f>
      </c>
      <c r="D37">
        <f>IF(ISERROR(C37),LEFT(B37&amp;"",1)="#",IF(ISNUMBER(C37),AND(ISNUMBER(B37),ABS(C37-B37)&lt;=0.000001*MAX(1,ABS(B37))),EXACT(C37&amp;"",B37&amp;"")))</f>
      </c>
      <c r="E37">
        <f>ISERROR(C37)</f>
      </c>
    </row>
    <row r="38">
      <c r="A38" t="str">
        <v>I2</v>
      </c>
      <c r="B38">
        <v>2.6263</v>
      </c>
      <c r="C38">
        <f>'hoa12'!I2</f>
      </c>
      <c r="D38">
        <f>IF(ISERROR(C38),LEFT(B38&amp;"",1)="#",IF(ISNUMBER(C38),AND(ISNUMBER(B38),ABS(C38-B38)&lt;=0.000001*MAX(1,ABS(B38))),EXACT(C38&amp;"",B38&amp;"")))</f>
      </c>
      <c r="E38">
        <f>ISERROR(C38)</f>
      </c>
    </row>
    <row r="39">
      <c r="A39" t="str">
        <v>I3</v>
      </c>
      <c r="B39">
        <v>1.8802</v>
      </c>
      <c r="C39">
        <f>'hoa12'!I3</f>
      </c>
      <c r="D39">
        <f>IF(ISERROR(C39),LEFT(B39&amp;"",1)="#",IF(ISNUMBER(C39),AND(ISNUMBER(B39),ABS(C39-B39)&lt;=0.000001*MAX(1,ABS(B39))),EXACT(C39&amp;"",B39&amp;"")))</f>
      </c>
      <c r="E39">
        <f>ISERROR(C39)</f>
      </c>
    </row>
    <row r="40">
      <c r="A40" t="str">
        <v>I4</v>
      </c>
      <c r="B40">
        <v>1.6368</v>
      </c>
      <c r="C40">
        <f>'hoa12'!I4</f>
      </c>
      <c r="D40">
        <f>IF(ISERROR(C40),LEFT(B40&amp;"",1)="#",IF(ISNUMBER(C40),AND(ISNUMBER(B40),ABS(C40-B40)&lt;=0.000001*MAX(1,ABS(B40))),EXACT(C40&amp;"",B40&amp;"")))</f>
      </c>
      <c r="E40">
        <f>ISERROR(C40)</f>
      </c>
    </row>
    <row r="41">
      <c r="A41" t="str">
        <v>I5</v>
      </c>
      <c r="B41">
        <v>1.4857</v>
      </c>
      <c r="C41">
        <f>'hoa12'!I5</f>
      </c>
      <c r="D41">
        <f>IF(ISERROR(C41),LEFT(B41&amp;"",1)="#",IF(ISNUMBER(C41),AND(ISNUMBER(B41),ABS(C41-B41)&lt;=0.000001*MAX(1,ABS(B41))),EXACT(C41&amp;"",B41&amp;"")))</f>
      </c>
      <c r="E41">
        <f>ISERROR(C41)</f>
      </c>
    </row>
    <row r="42">
      <c r="A42" t="str">
        <v>I6</v>
      </c>
      <c r="B42">
        <v>12.2885</v>
      </c>
      <c r="C42">
        <f>'hoa12'!I6</f>
      </c>
      <c r="D42">
        <f>IF(ISERROR(C42),LEFT(B42&amp;"",1)="#",IF(ISNUMBER(C42),AND(ISNUMBER(B42),ABS(C42-B42)&lt;=0.000001*MAX(1,ABS(B42))),EXACT(C42&amp;"",B42&amp;"")))</f>
      </c>
      <c r="E42">
        <f>ISERROR(C42)</f>
      </c>
    </row>
    <row r="43">
      <c r="A43" t="str">
        <v>I7</v>
      </c>
      <c r="B43">
        <v>10.3411</v>
      </c>
      <c r="C43">
        <f>'hoa12'!I7</f>
      </c>
      <c r="D43">
        <f>IF(ISERROR(C43),LEFT(B43&amp;"",1)="#",IF(ISNUMBER(C43),AND(ISNUMBER(B43),ABS(C43-B43)&lt;=0.000001*MAX(1,ABS(B43))),EXACT(C43&amp;"",B43&amp;"")))</f>
      </c>
      <c r="E43">
        <f>ISERROR(C43)</f>
      </c>
    </row>
    <row r="44">
      <c r="A44" t="str">
        <v>I8</v>
      </c>
      <c r="B44">
        <v>2.4762</v>
      </c>
      <c r="C44">
        <f>'hoa12'!I8</f>
      </c>
      <c r="D44">
        <f>IF(ISERROR(C44),LEFT(B44&amp;"",1)="#",IF(ISNUMBER(C44),AND(ISNUMBER(B44),ABS(C44-B44)&lt;=0.000001*MAX(1,ABS(B44))),EXACT(C44&amp;"",B44&amp;"")))</f>
      </c>
      <c r="E44">
        <f>ISERROR(C44)</f>
      </c>
    </row>
    <row r="45">
      <c r="A45" t="str">
        <v>I9</v>
      </c>
      <c r="B45">
        <v>2.5679</v>
      </c>
      <c r="C45">
        <f>'hoa12'!I9</f>
      </c>
      <c r="D45">
        <f>IF(ISERROR(C45),LEFT(B45&amp;"",1)="#",IF(ISNUMBER(C45),AND(ISNUMBER(B45),ABS(C45-B45)&lt;=0.000001*MAX(1,ABS(B45))),EXACT(C45&amp;"",B45&amp;"")))</f>
      </c>
      <c r="E45">
        <f>ISERROR(C45)</f>
      </c>
    </row>
    <row r="46">
      <c r="A46" t="str">
        <v>I10</v>
      </c>
      <c r="B46">
        <v>2.4762</v>
      </c>
      <c r="C46">
        <f>'hoa12'!I10</f>
      </c>
      <c r="D46">
        <f>IF(ISERROR(C46),LEFT(B46&amp;"",1)="#",IF(ISNUMBER(C46),AND(ISNUMBER(B46),ABS(C46-B46)&lt;=0.000001*MAX(1,ABS(B46))),EXACT(C46&amp;"",B46&amp;"")))</f>
      </c>
      <c r="E46">
        <f>ISERROR(C46)</f>
      </c>
    </row>
    <row r="47">
      <c r="A47" t="str">
        <v>I11</v>
      </c>
      <c r="B47">
        <v>7.3865</v>
      </c>
      <c r="C47">
        <f>'hoa12'!I11</f>
      </c>
      <c r="D47">
        <f>IF(ISERROR(C47),LEFT(B47&amp;"",1)="#",IF(ISNUMBER(C47),AND(ISNUMBER(B47),ABS(C47-B47)&lt;=0.000001*MAX(1,ABS(B47))),EXACT(C47&amp;"",B47&amp;"")))</f>
      </c>
      <c r="E47">
        <f>ISERROR(C47)</f>
      </c>
    </row>
    <row r="48">
      <c r="A48" t="str">
        <v>I12</v>
      </c>
      <c r="B48">
        <v>0.9351</v>
      </c>
      <c r="C48">
        <f>'hoa12'!I12</f>
      </c>
      <c r="D48">
        <f>IF(ISERROR(C48),LEFT(B48&amp;"",1)="#",IF(ISNUMBER(C48),AND(ISNUMBER(B48),ABS(C48-B48)&lt;=0.000001*MAX(1,ABS(B48))),EXACT(C48&amp;"",B48&amp;"")))</f>
      </c>
      <c r="E48">
        <f>ISERROR(C48)</f>
      </c>
    </row>
    <row r="49">
      <c r="A49" t="str">
        <v>I13</v>
      </c>
      <c r="B49">
        <v>6.0528</v>
      </c>
      <c r="C49">
        <f>'hoa12'!I13</f>
      </c>
      <c r="D49">
        <f>IF(ISERROR(C49),LEFT(B49&amp;"",1)="#",IF(ISNUMBER(C49),AND(ISNUMBER(B49),ABS(C49-B49)&lt;=0.000001*MAX(1,ABS(B49))),EXACT(C49&amp;"",B49&amp;"")))</f>
      </c>
      <c r="E49">
        <f>ISERROR(C49)</f>
      </c>
    </row>
    <row r="50">
      <c r="A50" t="str">
        <v>Z2</v>
      </c>
      <c r="B50" t="str">
        <v>DP05</v>
      </c>
      <c r="C50">
        <f>'hoa12'!Z2</f>
      </c>
      <c r="D50">
        <f>IF(ISERROR(C50),LEFT(B50&amp;"",1)="#",IF(ISNUMBER(C50),AND(ISNUMBER(B50),ABS(C50-B50)&lt;=0.000001*MAX(1,ABS(B50))),EXACT(C50&amp;"",B50&amp;"")))</f>
      </c>
      <c r="E50">
        <f>ISERROR(C50)</f>
      </c>
    </row>
    <row r="51">
      <c r="A51" t="str">
        <v>Z3</v>
      </c>
      <c r="B51">
        <v>3.5614</v>
      </c>
      <c r="C51">
        <f>'hoa12'!Z3</f>
      </c>
      <c r="D51">
        <f>IF(ISERROR(C51),LEFT(B51&amp;"",1)="#",IF(ISNUMBER(C51),AND(ISNUMBER(B51),ABS(C51-B51)&lt;=0.000001*MAX(1,ABS(B51))),EXACT(C51&amp;"",B51&amp;"")))</f>
      </c>
      <c r="E51">
        <f>ISERROR(C51)</f>
      </c>
    </row>
    <row r="52">
      <c r="A52" t="str">
        <v>Z4</v>
      </c>
      <c r="B52">
        <v>0</v>
      </c>
      <c r="C52">
        <f>'hoa12'!Z4</f>
      </c>
      <c r="D52">
        <f>IF(ISERROR(C52),LEFT(B52&amp;"",1)="#",IF(ISNUMBER(C52),AND(ISNUMBER(B52),ABS(C52-B52)&lt;=0.000001*MAX(1,ABS(B52))),EXACT(C52&amp;"",B52&amp;"")))</f>
      </c>
      <c r="E52">
        <f>ISERROR(C52)</f>
      </c>
    </row>
    <row r="53">
      <c r="A53" t="str">
        <v>Z5</v>
      </c>
      <c r="B53">
        <v>0.10209399999999999</v>
      </c>
      <c r="C53">
        <f>'hoa12'!Z5</f>
      </c>
      <c r="D53">
        <f>IF(ISERROR(C53),LEFT(B53&amp;"",1)="#",IF(ISNUMBER(C53),AND(ISNUMBER(B53),ABS(C53-B53)&lt;=0.000001*MAX(1,ABS(B53))),EXACT(C53&amp;"",B53&amp;"")))</f>
      </c>
      <c r="E53">
        <f>ISERROR(C53)</f>
      </c>
    </row>
    <row r="54">
      <c r="A54" t="str">
        <v>Z6</v>
      </c>
      <c r="B54">
        <v>12.2885</v>
      </c>
      <c r="C54">
        <f>'hoa12'!Z6</f>
      </c>
      <c r="D54">
        <f>IF(ISERROR(C54),LEFT(B54&amp;"",1)="#",IF(ISNUMBER(C54),AND(ISNUMBER(B54),ABS(C54-B54)&lt;=0.000001*MAX(1,ABS(B54))),EXACT(C54&amp;"",B54&amp;"")))</f>
      </c>
      <c r="E54">
        <f>ISERROR(C54)</f>
      </c>
    </row>
    <row r="55">
      <c r="A55" t="str">
        <v>Z7</v>
      </c>
      <c r="B55">
        <v>2.52205</v>
      </c>
      <c r="C55">
        <f>'hoa12'!Z7</f>
      </c>
      <c r="D55">
        <f>IF(ISERROR(C55),LEFT(B55&amp;"",1)="#",IF(ISNUMBER(C55),AND(ISNUMBER(B55),ABS(C55-B55)&lt;=0.000001*MAX(1,ABS(B55))),EXACT(C55&amp;"",B55&amp;"")))</f>
      </c>
      <c r="E55">
        <f>ISERROR(C55)</f>
      </c>
    </row>
    <row r="56">
      <c r="A56" t="str">
        <v>Z8</v>
      </c>
      <c r="B56">
        <v>10.3411</v>
      </c>
      <c r="C56">
        <f>'hoa12'!Z8</f>
      </c>
      <c r="D56">
        <f>IF(ISERROR(C56),LEFT(B56&amp;"",1)="#",IF(ISNUMBER(C56),AND(ISNUMBER(B56),ABS(C56-B56)&lt;=0.000001*MAX(1,ABS(B56))),EXACT(C56&amp;"",B56&amp;"")))</f>
      </c>
      <c r="E56">
        <f>ISERROR(C56)</f>
      </c>
    </row>
    <row r="57">
      <c r="A57" t="str">
        <v>Z9</v>
      </c>
      <c r="B57">
        <v>3.784</v>
      </c>
      <c r="C57">
        <f>'hoa12'!Z9</f>
      </c>
      <c r="D57">
        <f>IF(ISERROR(C57),LEFT(B57&amp;"",1)="#",IF(ISNUMBER(C57),AND(ISNUMBER(B57),ABS(C57-B57)&lt;=0.000001*MAX(1,ABS(B57))),EXACT(C57&amp;"",B57&amp;"")))</f>
      </c>
      <c r="E57">
        <f>ISERROR(C57)</f>
      </c>
    </row>
    <row r="58">
      <c r="A58" t="str">
        <v>Z10</v>
      </c>
      <c r="B58">
        <v>3.5614</v>
      </c>
      <c r="C58">
        <f>'hoa12'!Z10</f>
      </c>
      <c r="D58">
        <f>IF(ISERROR(C58),LEFT(B58&amp;"",1)="#",IF(ISNUMBER(C58),AND(ISNUMBER(B58),ABS(C58-B58)&lt;=0.000001*MAX(1,ABS(B58))),EXACT(C58&amp;"",B58&amp;"")))</f>
      </c>
      <c r="E58">
        <f>ISERROR(C58)</f>
      </c>
    </row>
    <row r="59">
      <c r="A59" t="str">
        <v>Z11</v>
      </c>
      <c r="B59">
        <v>2</v>
      </c>
      <c r="C59">
        <f>'hoa12'!Z11</f>
      </c>
      <c r="D59">
        <f>IF(ISERROR(C59),LEFT(B59&amp;"",1)="#",IF(ISNUMBER(C59),AND(ISNUMBER(B59),ABS(C59-B59)&lt;=0.000001*MAX(1,ABS(B59))),EXACT(C59&amp;"",B59&amp;"")))</f>
      </c>
      <c r="E59">
        <f>ISERROR(C59)</f>
      </c>
    </row>
    <row r="60">
      <c r="A60" t="str">
        <v>Z12</v>
      </c>
      <c r="B60">
        <v>3.5614</v>
      </c>
      <c r="C60">
        <f>'hoa12'!Z12</f>
      </c>
      <c r="D60">
        <f>IF(ISERROR(C60),LEFT(B60&amp;"",1)="#",IF(ISNUMBER(C60),AND(ISNUMBER(B60),ABS(C60-B60)&lt;=0.000001*MAX(1,ABS(B60))),EXACT(C60&amp;"",B60&amp;"")))</f>
      </c>
      <c r="E60">
        <f>ISERROR(C60)</f>
      </c>
    </row>
    <row r="61">
      <c r="A61" t="str">
        <v>Z13</v>
      </c>
      <c r="B61">
        <v>1556</v>
      </c>
      <c r="C61">
        <f>'hoa12'!Z13</f>
      </c>
      <c r="D61">
        <f>IF(ISERROR(C61),LEFT(B61&amp;"",1)="#",IF(ISNUMBER(C61),AND(ISNUMBER(B61),ABS(C61-B61)&lt;=0.000001*MAX(1,ABS(B61))),EXACT(C61&amp;"",B61&amp;"")))</f>
      </c>
      <c r="E61">
        <f>ISERROR(C61)</f>
      </c>
    </row>
  </sheetData>
  <ignoredErrors>
    <ignoredError numberStoredAsText="1" sqref="A1:E61"/>
  </ignoredErrors>
</worksheet>
</file>

<file path=xl/worksheets/sheet5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MaQT</v>
      </c>
      <c r="B1" t="str">
        <v>SoTroiTroi</v>
      </c>
      <c r="C1" t="str">
        <v>SoDiHop</v>
      </c>
      <c r="D1" t="str">
        <v>SoLanLan</v>
      </c>
      <c r="E1" t="str">
        <v>TongCT</v>
      </c>
      <c r="F1" t="str">
        <v>TanSoA</v>
      </c>
      <c r="G1" t="str">
        <v>TanSoa</v>
      </c>
      <c r="H1" t="str">
        <v>TanSoAA</v>
      </c>
      <c r="I1" t="str">
        <v>LyThuyetAA</v>
      </c>
      <c r="J1" t="str">
        <v>CanBang</v>
      </c>
      <c r="W1" t="str">
        <v>CanBang</v>
      </c>
      <c r="Y1" t="str">
        <v>TongHop</v>
      </c>
      <c r="Z1" t="str">
        <v>KetQua</v>
      </c>
    </row>
    <row r="2">
      <c r="A2" t="str">
        <v>QT01</v>
      </c>
      <c r="B2">
        <v>25</v>
      </c>
      <c r="C2">
        <v>50</v>
      </c>
      <c r="D2">
        <v>25</v>
      </c>
      <c r="E2">
        <f>B2+C2+D2</f>
        <v>100</v>
      </c>
      <c r="F2">
        <f>ROUND((2*B2+C2)/(2*E2),4)</f>
        <v>0.5</v>
      </c>
      <c r="G2">
        <f>ROUND((2*D2+C2)/(2*E2),4)</f>
        <v>0.5</v>
      </c>
      <c r="H2">
        <f>ROUND(B2/E2,4)</f>
        <v>0.25</v>
      </c>
      <c r="I2">
        <f>ROUND(F2^2,4)</f>
        <v>0.25</v>
      </c>
      <c r="J2" t="str">
        <f>IF(ABS(H2-I2)&lt;=0.05,"CAN BANG","LECH")</f>
        <v>CAN BANG</v>
      </c>
      <c r="W2" t="str">
        <v>CAN BANG</v>
      </c>
      <c r="Y2" t="str">
        <v>Ma MaQT co TanSoA lon nhat</v>
      </c>
      <c r="Z2" t="str">
        <f>INDEX(A2:A13,MATCH(MAX(F2:F13),F2:F13,0))</f>
        <v>QT02</v>
      </c>
    </row>
    <row r="3">
      <c r="A3" t="str">
        <v>QT02</v>
      </c>
      <c r="B3">
        <v>60</v>
      </c>
      <c r="C3">
        <v>10</v>
      </c>
      <c r="D3">
        <v>30</v>
      </c>
      <c r="E3">
        <f>B3+C3+D3</f>
        <v>100</v>
      </c>
      <c r="F3">
        <f>ROUND((2*B3+C3)/(2*E3),4)</f>
        <v>0.65</v>
      </c>
      <c r="G3">
        <f>ROUND((2*D3+C3)/(2*E3),4)</f>
        <v>0.35</v>
      </c>
      <c r="H3">
        <f>ROUND(B3/E3,4)</f>
        <v>0.6</v>
      </c>
      <c r="I3">
        <f>ROUND(F3^2,4)</f>
        <v>0.4225</v>
      </c>
      <c r="J3" t="str">
        <f>IF(ABS(H3-I3)&lt;=0.05,"CAN BANG","LECH")</f>
        <v>LECH</v>
      </c>
      <c r="Y3" t="str">
        <v>Tong TongCT khi CanBang = CAN BANG</v>
      </c>
      <c r="Z3">
        <f>SUMIF(J2:J13,"CAN BANG",E2:E13)</f>
        <v>309</v>
      </c>
    </row>
    <row r="4">
      <c r="A4" t="str">
        <v>QT03</v>
      </c>
      <c r="B4">
        <v>44</v>
      </c>
      <c r="C4">
        <v>32</v>
      </c>
      <c r="D4">
        <v>34</v>
      </c>
      <c r="E4">
        <f>B4+C4+D4</f>
        <v>110</v>
      </c>
      <c r="F4">
        <f>ROUND((2*B4+C4)/(2*E4),4)</f>
        <v>0.5455</v>
      </c>
      <c r="G4">
        <f>ROUND((2*D4+C4)/(2*E4),4)</f>
        <v>0.4545</v>
      </c>
      <c r="H4">
        <f>ROUND(B4/E4,4)</f>
        <v>0.4</v>
      </c>
      <c r="I4">
        <f>ROUND(F4^2,4)</f>
        <v>0.2976</v>
      </c>
      <c r="J4" t="str">
        <f>IF(ABS(H4-I4)&lt;=0.05,"CAN BANG","LECH")</f>
        <v>LECH</v>
      </c>
      <c r="Y4" t="str">
        <v>So dong CanBang = LECH, SoDiHop &gt;=30</v>
      </c>
      <c r="Z4">
        <f>COUNTIFS(J2:J13,"LECH",C2:C13,"&gt;=30")</f>
        <v>4</v>
      </c>
    </row>
    <row r="5">
      <c r="A5" t="str">
        <v>QT04</v>
      </c>
      <c r="B5">
        <v>12</v>
      </c>
      <c r="C5">
        <v>19</v>
      </c>
      <c r="D5">
        <v>54</v>
      </c>
      <c r="E5">
        <f>B5+C5+D5</f>
        <v>85</v>
      </c>
      <c r="F5">
        <f>ROUND((2*B5+C5)/(2*E5),4)</f>
        <v>0.2529</v>
      </c>
      <c r="G5">
        <f>ROUND((2*D5+C5)/(2*E5),4)</f>
        <v>0.7471</v>
      </c>
      <c r="H5">
        <f>ROUND(B5/E5,4)</f>
        <v>0.1412</v>
      </c>
      <c r="I5">
        <f>ROUND(F5^2,4)</f>
        <v>0.064</v>
      </c>
      <c r="J5" t="str">
        <f>IF(ABS(H5-I5)&lt;=0.05,"CAN BANG","LECH")</f>
        <v>LECH</v>
      </c>
      <c r="Y5" t="str">
        <v>TanSoA trung binh khi CanBang = LECH</v>
      </c>
      <c r="Z5">
        <f>AVERAGEIF(J2:J13,"LECH",F2:F13)</f>
        <v>0.48831111111111103</v>
      </c>
    </row>
    <row r="6">
      <c r="A6" t="str">
        <v>QT05</v>
      </c>
      <c r="B6">
        <v>10</v>
      </c>
      <c r="C6">
        <v>54</v>
      </c>
      <c r="D6">
        <v>25</v>
      </c>
      <c r="E6">
        <f>B6+C6+D6</f>
        <v>89</v>
      </c>
      <c r="F6">
        <f>ROUND((2*B6+C6)/(2*E6),4)</f>
        <v>0.4157</v>
      </c>
      <c r="G6">
        <f>ROUND((2*D6+C6)/(2*E6),4)</f>
        <v>0.5843</v>
      </c>
      <c r="H6">
        <f>ROUND(B6/E6,4)</f>
        <v>0.1124</v>
      </c>
      <c r="I6">
        <f>ROUND(F6^2,4)</f>
        <v>0.1728</v>
      </c>
      <c r="J6" t="str">
        <f>IF(ABS(H6-I6)&lt;=0.05,"CAN BANG","LECH")</f>
        <v>LECH</v>
      </c>
      <c r="Y6" t="str">
        <v>TanSoAA lon nhat khi CanBang = CAN BANG</v>
      </c>
      <c r="Z6">
        <f>_xlfn.MAXIFS(H2:H13,J2:J13,"CAN BANG")</f>
        <v>0.321</v>
      </c>
    </row>
    <row r="7">
      <c r="A7" t="str">
        <v>QT06</v>
      </c>
      <c r="B7">
        <v>46</v>
      </c>
      <c r="C7">
        <v>42</v>
      </c>
      <c r="D7">
        <v>25</v>
      </c>
      <c r="E7">
        <f>B7+C7+D7</f>
        <v>113</v>
      </c>
      <c r="F7">
        <f>ROUND((2*B7+C7)/(2*E7),4)</f>
        <v>0.5929</v>
      </c>
      <c r="G7">
        <f>ROUND((2*D7+C7)/(2*E7),4)</f>
        <v>0.4071</v>
      </c>
      <c r="H7">
        <f>ROUND(B7/E7,4)</f>
        <v>0.4071</v>
      </c>
      <c r="I7">
        <f>ROUND(F7^2,4)</f>
        <v>0.3515</v>
      </c>
      <c r="J7" t="str">
        <f>IF(ABS(H7-I7)&lt;=0.05,"CAN BANG","LECH")</f>
        <v>LECH</v>
      </c>
      <c r="Y7" t="str">
        <v>TanSoA trung vi</v>
      </c>
      <c r="Z7">
        <f>MEDIAN(F2:F13)</f>
        <v>0.50405</v>
      </c>
    </row>
    <row r="8">
      <c r="A8" t="str">
        <v>QT07</v>
      </c>
      <c r="B8">
        <v>28</v>
      </c>
      <c r="C8">
        <v>52</v>
      </c>
      <c r="D8">
        <v>48</v>
      </c>
      <c r="E8">
        <f>B8+C8+D8</f>
        <v>128</v>
      </c>
      <c r="F8">
        <f>ROUND((2*B8+C8)/(2*E8),4)</f>
        <v>0.4219</v>
      </c>
      <c r="G8">
        <f>ROUND((2*D8+C8)/(2*E8),4)</f>
        <v>0.5781</v>
      </c>
      <c r="H8">
        <f>ROUND(B8/E8,4)</f>
        <v>0.2188</v>
      </c>
      <c r="I8">
        <f>ROUND(F8^2,4)</f>
        <v>0.178</v>
      </c>
      <c r="J8" t="str">
        <f>IF(ABS(H8-I8)&lt;=0.05,"CAN BANG","LECH")</f>
        <v>CAN BANG</v>
      </c>
      <c r="Y8" t="str">
        <v>TanSoA lon thu hai</v>
      </c>
      <c r="Z8">
        <f>LARGE(F2:F13,2)</f>
        <v>0.6</v>
      </c>
    </row>
    <row r="9">
      <c r="A9" t="str">
        <v>QT08</v>
      </c>
      <c r="B9">
        <v>52</v>
      </c>
      <c r="C9">
        <v>21</v>
      </c>
      <c r="D9">
        <v>50</v>
      </c>
      <c r="E9">
        <f>B9+C9+D9</f>
        <v>123</v>
      </c>
      <c r="F9">
        <f>ROUND((2*B9+C9)/(2*E9),4)</f>
        <v>0.5081</v>
      </c>
      <c r="G9">
        <f>ROUND((2*D9+C9)/(2*E9),4)</f>
        <v>0.4919</v>
      </c>
      <c r="H9">
        <f>ROUND(B9/E9,4)</f>
        <v>0.4228</v>
      </c>
      <c r="I9">
        <f>ROUND(F9^2,4)</f>
        <v>0.2582</v>
      </c>
      <c r="J9" t="str">
        <f>IF(ABS(H9-I9)&lt;=0.05,"CAN BANG","LECH")</f>
        <v>LECH</v>
      </c>
      <c r="Y9" t="str">
        <v>Do lech chuan TanSoA</v>
      </c>
      <c r="Z9">
        <f>ROUND(STDEV(F2:F13),4)</f>
        <v>0.1147</v>
      </c>
    </row>
    <row r="10">
      <c r="A10" t="str">
        <v>QT09</v>
      </c>
      <c r="B10">
        <v>54</v>
      </c>
      <c r="C10">
        <v>21</v>
      </c>
      <c r="D10">
        <v>57</v>
      </c>
      <c r="E10">
        <f>B10+C10+D10</f>
        <v>132</v>
      </c>
      <c r="F10">
        <f>ROUND((2*B10+C10)/(2*E10),4)</f>
        <v>0.4886</v>
      </c>
      <c r="G10">
        <f>ROUND((2*D10+C10)/(2*E10),4)</f>
        <v>0.5114</v>
      </c>
      <c r="H10">
        <f>ROUND(B10/E10,4)</f>
        <v>0.4091</v>
      </c>
      <c r="I10">
        <f>ROUND(F10^2,4)</f>
        <v>0.2387</v>
      </c>
      <c r="J10" t="str">
        <f>IF(ABS(H10-I10)&lt;=0.05,"CAN BANG","LECH")</f>
        <v>LECH</v>
      </c>
      <c r="Y10" t="str">
        <v>Tong TongCT theo tieu chi W1:W2</v>
      </c>
      <c r="Z10">
        <f>DSUM(A1:J13,"TongCT",W1:W2)</f>
        <v>309</v>
      </c>
    </row>
    <row r="11">
      <c r="A11" t="str">
        <v>QT10</v>
      </c>
      <c r="B11">
        <v>56</v>
      </c>
      <c r="C11">
        <v>20</v>
      </c>
      <c r="D11">
        <v>34</v>
      </c>
      <c r="E11">
        <f>B11+C11+D11</f>
        <v>110</v>
      </c>
      <c r="F11">
        <f>ROUND((2*B11+C11)/(2*E11),4)</f>
        <v>0.6</v>
      </c>
      <c r="G11">
        <f>ROUND((2*D11+C11)/(2*E11),4)</f>
        <v>0.4</v>
      </c>
      <c r="H11">
        <f>ROUND(B11/E11,4)</f>
        <v>0.5091</v>
      </c>
      <c r="I11">
        <f>ROUND(F11^2,4)</f>
        <v>0.36</v>
      </c>
      <c r="J11" t="str">
        <f>IF(ABS(H11-I11)&lt;=0.05,"CAN BANG","LECH")</f>
        <v>LECH</v>
      </c>
      <c r="Y11" t="str">
        <v>So dong theo tieu chi W1:W2</v>
      </c>
      <c r="Z11">
        <f>DCOUNT(A1:J13,"TongCT",W1:W2)</f>
        <v>3</v>
      </c>
    </row>
    <row r="12">
      <c r="A12" t="str">
        <v>QT11</v>
      </c>
      <c r="B12">
        <v>26</v>
      </c>
      <c r="C12">
        <v>38</v>
      </c>
      <c r="D12">
        <v>17</v>
      </c>
      <c r="E12">
        <f>B12+C12+D12</f>
        <v>81</v>
      </c>
      <c r="F12">
        <f>ROUND((2*B12+C12)/(2*E12),4)</f>
        <v>0.5556</v>
      </c>
      <c r="G12">
        <f>ROUND((2*D12+C12)/(2*E12),4)</f>
        <v>0.4444</v>
      </c>
      <c r="H12">
        <f>ROUND(B12/E12,4)</f>
        <v>0.321</v>
      </c>
      <c r="I12">
        <f>ROUND(F12^2,4)</f>
        <v>0.3087</v>
      </c>
      <c r="J12" t="str">
        <f>IF(ABS(H12-I12)&lt;=0.05,"CAN BANG","LECH")</f>
        <v>CAN BANG</v>
      </c>
      <c r="Y12" t="str">
        <v>Tong TongCT khi CanBang = CAN BANG (SUMPRODUCT)</v>
      </c>
      <c r="Z12">
        <f>SUMPRODUCT((J2:J13="CAN BANG")*E2:E13)</f>
        <v>309</v>
      </c>
    </row>
    <row r="13">
      <c r="A13" t="str">
        <v>QT12</v>
      </c>
      <c r="B13">
        <v>20</v>
      </c>
      <c r="C13">
        <v>33</v>
      </c>
      <c r="D13">
        <v>54</v>
      </c>
      <c r="E13">
        <f>B13+C13+D13</f>
        <v>107</v>
      </c>
      <c r="F13">
        <f>ROUND((2*B13+C13)/(2*E13),4)</f>
        <v>0.3411</v>
      </c>
      <c r="G13">
        <f>ROUND((2*D13+C13)/(2*E13),4)</f>
        <v>0.6589</v>
      </c>
      <c r="H13">
        <f>ROUND(B13/E13,4)</f>
        <v>0.1869</v>
      </c>
      <c r="I13">
        <f>ROUND(F13^2,4)</f>
        <v>0.1163</v>
      </c>
      <c r="J13" t="str">
        <f>IF(ABS(H13-I13)&lt;=0.05,"CAN BANG","LECH")</f>
        <v>LECH</v>
      </c>
      <c r="Y13" t="str">
        <v>Tong SoTroiTroi x SoLanLan</v>
      </c>
      <c r="Z13">
        <f>SUMPRODUCT(B2:B13,D2:D13)</f>
        <v>16417</v>
      </c>
    </row>
  </sheetData>
  <ignoredErrors>
    <ignoredError numberStoredAsText="1" sqref="A1:Z13"/>
  </ignoredErrors>
</worksheet>
</file>

<file path=xl/worksheets/sheet55.xml><?xml version="1.0" encoding="utf-8"?>
<worksheet xmlns="http://schemas.openxmlformats.org/spreadsheetml/2006/main" xmlns:r="http://schemas.openxmlformats.org/officeDocument/2006/relationships">
  <dimension ref="A1:E85"/>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100</v>
      </c>
      <c r="C2">
        <f>'sinh12'!E2</f>
      </c>
      <c r="D2">
        <f>IF(ISERROR(C2),LEFT(B2&amp;"",1)="#",IF(ISNUMBER(C2),AND(ISNUMBER(B2),ABS(C2-B2)&lt;=0.000001*MAX(1,ABS(B2))),EXACT(C2&amp;"",B2&amp;"")))</f>
      </c>
      <c r="E2">
        <f>ISERROR(C2)</f>
      </c>
    </row>
    <row r="3">
      <c r="A3" t="str">
        <v>E3</v>
      </c>
      <c r="B3">
        <v>100</v>
      </c>
      <c r="C3">
        <f>'sinh12'!E3</f>
      </c>
      <c r="D3">
        <f>IF(ISERROR(C3),LEFT(B3&amp;"",1)="#",IF(ISNUMBER(C3),AND(ISNUMBER(B3),ABS(C3-B3)&lt;=0.000001*MAX(1,ABS(B3))),EXACT(C3&amp;"",B3&amp;"")))</f>
      </c>
      <c r="E3">
        <f>ISERROR(C3)</f>
      </c>
    </row>
    <row r="4">
      <c r="A4" t="str">
        <v>E4</v>
      </c>
      <c r="B4">
        <v>110</v>
      </c>
      <c r="C4">
        <f>'sinh12'!E4</f>
      </c>
      <c r="D4">
        <f>IF(ISERROR(C4),LEFT(B4&amp;"",1)="#",IF(ISNUMBER(C4),AND(ISNUMBER(B4),ABS(C4-B4)&lt;=0.000001*MAX(1,ABS(B4))),EXACT(C4&amp;"",B4&amp;"")))</f>
      </c>
      <c r="E4">
        <f>ISERROR(C4)</f>
      </c>
    </row>
    <row r="5">
      <c r="A5" t="str">
        <v>E5</v>
      </c>
      <c r="B5">
        <v>85</v>
      </c>
      <c r="C5">
        <f>'sinh12'!E5</f>
      </c>
      <c r="D5">
        <f>IF(ISERROR(C5),LEFT(B5&amp;"",1)="#",IF(ISNUMBER(C5),AND(ISNUMBER(B5),ABS(C5-B5)&lt;=0.000001*MAX(1,ABS(B5))),EXACT(C5&amp;"",B5&amp;"")))</f>
      </c>
      <c r="E5">
        <f>ISERROR(C5)</f>
      </c>
    </row>
    <row r="6">
      <c r="A6" t="str">
        <v>E6</v>
      </c>
      <c r="B6">
        <v>89</v>
      </c>
      <c r="C6">
        <f>'sinh12'!E6</f>
      </c>
      <c r="D6">
        <f>IF(ISERROR(C6),LEFT(B6&amp;"",1)="#",IF(ISNUMBER(C6),AND(ISNUMBER(B6),ABS(C6-B6)&lt;=0.000001*MAX(1,ABS(B6))),EXACT(C6&amp;"",B6&amp;"")))</f>
      </c>
      <c r="E6">
        <f>ISERROR(C6)</f>
      </c>
    </row>
    <row r="7">
      <c r="A7" t="str">
        <v>E7</v>
      </c>
      <c r="B7">
        <v>113</v>
      </c>
      <c r="C7">
        <f>'sinh12'!E7</f>
      </c>
      <c r="D7">
        <f>IF(ISERROR(C7),LEFT(B7&amp;"",1)="#",IF(ISNUMBER(C7),AND(ISNUMBER(B7),ABS(C7-B7)&lt;=0.000001*MAX(1,ABS(B7))),EXACT(C7&amp;"",B7&amp;"")))</f>
      </c>
      <c r="E7">
        <f>ISERROR(C7)</f>
      </c>
    </row>
    <row r="8">
      <c r="A8" t="str">
        <v>E8</v>
      </c>
      <c r="B8">
        <v>128</v>
      </c>
      <c r="C8">
        <f>'sinh12'!E8</f>
      </c>
      <c r="D8">
        <f>IF(ISERROR(C8),LEFT(B8&amp;"",1)="#",IF(ISNUMBER(C8),AND(ISNUMBER(B8),ABS(C8-B8)&lt;=0.000001*MAX(1,ABS(B8))),EXACT(C8&amp;"",B8&amp;"")))</f>
      </c>
      <c r="E8">
        <f>ISERROR(C8)</f>
      </c>
    </row>
    <row r="9">
      <c r="A9" t="str">
        <v>E9</v>
      </c>
      <c r="B9">
        <v>123</v>
      </c>
      <c r="C9">
        <f>'sinh12'!E9</f>
      </c>
      <c r="D9">
        <f>IF(ISERROR(C9),LEFT(B9&amp;"",1)="#",IF(ISNUMBER(C9),AND(ISNUMBER(B9),ABS(C9-B9)&lt;=0.000001*MAX(1,ABS(B9))),EXACT(C9&amp;"",B9&amp;"")))</f>
      </c>
      <c r="E9">
        <f>ISERROR(C9)</f>
      </c>
    </row>
    <row r="10">
      <c r="A10" t="str">
        <v>E10</v>
      </c>
      <c r="B10">
        <v>132</v>
      </c>
      <c r="C10">
        <f>'sinh12'!E10</f>
      </c>
      <c r="D10">
        <f>IF(ISERROR(C10),LEFT(B10&amp;"",1)="#",IF(ISNUMBER(C10),AND(ISNUMBER(B10),ABS(C10-B10)&lt;=0.000001*MAX(1,ABS(B10))),EXACT(C10&amp;"",B10&amp;"")))</f>
      </c>
      <c r="E10">
        <f>ISERROR(C10)</f>
      </c>
    </row>
    <row r="11">
      <c r="A11" t="str">
        <v>E11</v>
      </c>
      <c r="B11">
        <v>110</v>
      </c>
      <c r="C11">
        <f>'sinh12'!E11</f>
      </c>
      <c r="D11">
        <f>IF(ISERROR(C11),LEFT(B11&amp;"",1)="#",IF(ISNUMBER(C11),AND(ISNUMBER(B11),ABS(C11-B11)&lt;=0.000001*MAX(1,ABS(B11))),EXACT(C11&amp;"",B11&amp;"")))</f>
      </c>
      <c r="E11">
        <f>ISERROR(C11)</f>
      </c>
    </row>
    <row r="12">
      <c r="A12" t="str">
        <v>E12</v>
      </c>
      <c r="B12">
        <v>81</v>
      </c>
      <c r="C12">
        <f>'sinh12'!E12</f>
      </c>
      <c r="D12">
        <f>IF(ISERROR(C12),LEFT(B12&amp;"",1)="#",IF(ISNUMBER(C12),AND(ISNUMBER(B12),ABS(C12-B12)&lt;=0.000001*MAX(1,ABS(B12))),EXACT(C12&amp;"",B12&amp;"")))</f>
      </c>
      <c r="E12">
        <f>ISERROR(C12)</f>
      </c>
    </row>
    <row r="13">
      <c r="A13" t="str">
        <v>E13</v>
      </c>
      <c r="B13">
        <v>107</v>
      </c>
      <c r="C13">
        <f>'sinh12'!E13</f>
      </c>
      <c r="D13">
        <f>IF(ISERROR(C13),LEFT(B13&amp;"",1)="#",IF(ISNUMBER(C13),AND(ISNUMBER(B13),ABS(C13-B13)&lt;=0.000001*MAX(1,ABS(B13))),EXACT(C13&amp;"",B13&amp;"")))</f>
      </c>
      <c r="E13">
        <f>ISERROR(C13)</f>
      </c>
    </row>
    <row r="14">
      <c r="A14" t="str">
        <v>F2</v>
      </c>
      <c r="B14">
        <v>0.5</v>
      </c>
      <c r="C14">
        <f>'sinh12'!F2</f>
      </c>
      <c r="D14">
        <f>IF(ISERROR(C14),LEFT(B14&amp;"",1)="#",IF(ISNUMBER(C14),AND(ISNUMBER(B14),ABS(C14-B14)&lt;=0.000001*MAX(1,ABS(B14))),EXACT(C14&amp;"",B14&amp;"")))</f>
      </c>
      <c r="E14">
        <f>ISERROR(C14)</f>
      </c>
    </row>
    <row r="15">
      <c r="A15" t="str">
        <v>F3</v>
      </c>
      <c r="B15">
        <v>0.65</v>
      </c>
      <c r="C15">
        <f>'sinh12'!F3</f>
      </c>
      <c r="D15">
        <f>IF(ISERROR(C15),LEFT(B15&amp;"",1)="#",IF(ISNUMBER(C15),AND(ISNUMBER(B15),ABS(C15-B15)&lt;=0.000001*MAX(1,ABS(B15))),EXACT(C15&amp;"",B15&amp;"")))</f>
      </c>
      <c r="E15">
        <f>ISERROR(C15)</f>
      </c>
    </row>
    <row r="16">
      <c r="A16" t="str">
        <v>F4</v>
      </c>
      <c r="B16">
        <v>0.5455</v>
      </c>
      <c r="C16">
        <f>'sinh12'!F4</f>
      </c>
      <c r="D16">
        <f>IF(ISERROR(C16),LEFT(B16&amp;"",1)="#",IF(ISNUMBER(C16),AND(ISNUMBER(B16),ABS(C16-B16)&lt;=0.000001*MAX(1,ABS(B16))),EXACT(C16&amp;"",B16&amp;"")))</f>
      </c>
      <c r="E16">
        <f>ISERROR(C16)</f>
      </c>
    </row>
    <row r="17">
      <c r="A17" t="str">
        <v>F5</v>
      </c>
      <c r="B17">
        <v>0.2529</v>
      </c>
      <c r="C17">
        <f>'sinh12'!F5</f>
      </c>
      <c r="D17">
        <f>IF(ISERROR(C17),LEFT(B17&amp;"",1)="#",IF(ISNUMBER(C17),AND(ISNUMBER(B17),ABS(C17-B17)&lt;=0.000001*MAX(1,ABS(B17))),EXACT(C17&amp;"",B17&amp;"")))</f>
      </c>
      <c r="E17">
        <f>ISERROR(C17)</f>
      </c>
    </row>
    <row r="18">
      <c r="A18" t="str">
        <v>F6</v>
      </c>
      <c r="B18">
        <v>0.4157</v>
      </c>
      <c r="C18">
        <f>'sinh12'!F6</f>
      </c>
      <c r="D18">
        <f>IF(ISERROR(C18),LEFT(B18&amp;"",1)="#",IF(ISNUMBER(C18),AND(ISNUMBER(B18),ABS(C18-B18)&lt;=0.000001*MAX(1,ABS(B18))),EXACT(C18&amp;"",B18&amp;"")))</f>
      </c>
      <c r="E18">
        <f>ISERROR(C18)</f>
      </c>
    </row>
    <row r="19">
      <c r="A19" t="str">
        <v>F7</v>
      </c>
      <c r="B19">
        <v>0.5929</v>
      </c>
      <c r="C19">
        <f>'sinh12'!F7</f>
      </c>
      <c r="D19">
        <f>IF(ISERROR(C19),LEFT(B19&amp;"",1)="#",IF(ISNUMBER(C19),AND(ISNUMBER(B19),ABS(C19-B19)&lt;=0.000001*MAX(1,ABS(B19))),EXACT(C19&amp;"",B19&amp;"")))</f>
      </c>
      <c r="E19">
        <f>ISERROR(C19)</f>
      </c>
    </row>
    <row r="20">
      <c r="A20" t="str">
        <v>F8</v>
      </c>
      <c r="B20">
        <v>0.4219</v>
      </c>
      <c r="C20">
        <f>'sinh12'!F8</f>
      </c>
      <c r="D20">
        <f>IF(ISERROR(C20),LEFT(B20&amp;"",1)="#",IF(ISNUMBER(C20),AND(ISNUMBER(B20),ABS(C20-B20)&lt;=0.000001*MAX(1,ABS(B20))),EXACT(C20&amp;"",B20&amp;"")))</f>
      </c>
      <c r="E20">
        <f>ISERROR(C20)</f>
      </c>
    </row>
    <row r="21">
      <c r="A21" t="str">
        <v>F9</v>
      </c>
      <c r="B21">
        <v>0.5081</v>
      </c>
      <c r="C21">
        <f>'sinh12'!F9</f>
      </c>
      <c r="D21">
        <f>IF(ISERROR(C21),LEFT(B21&amp;"",1)="#",IF(ISNUMBER(C21),AND(ISNUMBER(B21),ABS(C21-B21)&lt;=0.000001*MAX(1,ABS(B21))),EXACT(C21&amp;"",B21&amp;"")))</f>
      </c>
      <c r="E21">
        <f>ISERROR(C21)</f>
      </c>
    </row>
    <row r="22">
      <c r="A22" t="str">
        <v>F10</v>
      </c>
      <c r="B22">
        <v>0.4886</v>
      </c>
      <c r="C22">
        <f>'sinh12'!F10</f>
      </c>
      <c r="D22">
        <f>IF(ISERROR(C22),LEFT(B22&amp;"",1)="#",IF(ISNUMBER(C22),AND(ISNUMBER(B22),ABS(C22-B22)&lt;=0.000001*MAX(1,ABS(B22))),EXACT(C22&amp;"",B22&amp;"")))</f>
      </c>
      <c r="E22">
        <f>ISERROR(C22)</f>
      </c>
    </row>
    <row r="23">
      <c r="A23" t="str">
        <v>F11</v>
      </c>
      <c r="B23">
        <v>0.6</v>
      </c>
      <c r="C23">
        <f>'sinh12'!F11</f>
      </c>
      <c r="D23">
        <f>IF(ISERROR(C23),LEFT(B23&amp;"",1)="#",IF(ISNUMBER(C23),AND(ISNUMBER(B23),ABS(C23-B23)&lt;=0.000001*MAX(1,ABS(B23))),EXACT(C23&amp;"",B23&amp;"")))</f>
      </c>
      <c r="E23">
        <f>ISERROR(C23)</f>
      </c>
    </row>
    <row r="24">
      <c r="A24" t="str">
        <v>F12</v>
      </c>
      <c r="B24">
        <v>0.5556</v>
      </c>
      <c r="C24">
        <f>'sinh12'!F12</f>
      </c>
      <c r="D24">
        <f>IF(ISERROR(C24),LEFT(B24&amp;"",1)="#",IF(ISNUMBER(C24),AND(ISNUMBER(B24),ABS(C24-B24)&lt;=0.000001*MAX(1,ABS(B24))),EXACT(C24&amp;"",B24&amp;"")))</f>
      </c>
      <c r="E24">
        <f>ISERROR(C24)</f>
      </c>
    </row>
    <row r="25">
      <c r="A25" t="str">
        <v>F13</v>
      </c>
      <c r="B25">
        <v>0.3411</v>
      </c>
      <c r="C25">
        <f>'sinh12'!F13</f>
      </c>
      <c r="D25">
        <f>IF(ISERROR(C25),LEFT(B25&amp;"",1)="#",IF(ISNUMBER(C25),AND(ISNUMBER(B25),ABS(C25-B25)&lt;=0.000001*MAX(1,ABS(B25))),EXACT(C25&amp;"",B25&amp;"")))</f>
      </c>
      <c r="E25">
        <f>ISERROR(C25)</f>
      </c>
    </row>
    <row r="26">
      <c r="A26" t="str">
        <v>G2</v>
      </c>
      <c r="B26">
        <v>0.5</v>
      </c>
      <c r="C26">
        <f>'sinh12'!G2</f>
      </c>
      <c r="D26">
        <f>IF(ISERROR(C26),LEFT(B26&amp;"",1)="#",IF(ISNUMBER(C26),AND(ISNUMBER(B26),ABS(C26-B26)&lt;=0.000001*MAX(1,ABS(B26))),EXACT(C26&amp;"",B26&amp;"")))</f>
      </c>
      <c r="E26">
        <f>ISERROR(C26)</f>
      </c>
    </row>
    <row r="27">
      <c r="A27" t="str">
        <v>G3</v>
      </c>
      <c r="B27">
        <v>0.35</v>
      </c>
      <c r="C27">
        <f>'sinh12'!G3</f>
      </c>
      <c r="D27">
        <f>IF(ISERROR(C27),LEFT(B27&amp;"",1)="#",IF(ISNUMBER(C27),AND(ISNUMBER(B27),ABS(C27-B27)&lt;=0.000001*MAX(1,ABS(B27))),EXACT(C27&amp;"",B27&amp;"")))</f>
      </c>
      <c r="E27">
        <f>ISERROR(C27)</f>
      </c>
    </row>
    <row r="28">
      <c r="A28" t="str">
        <v>G4</v>
      </c>
      <c r="B28">
        <v>0.4545</v>
      </c>
      <c r="C28">
        <f>'sinh12'!G4</f>
      </c>
      <c r="D28">
        <f>IF(ISERROR(C28),LEFT(B28&amp;"",1)="#",IF(ISNUMBER(C28),AND(ISNUMBER(B28),ABS(C28-B28)&lt;=0.000001*MAX(1,ABS(B28))),EXACT(C28&amp;"",B28&amp;"")))</f>
      </c>
      <c r="E28">
        <f>ISERROR(C28)</f>
      </c>
    </row>
    <row r="29">
      <c r="A29" t="str">
        <v>G5</v>
      </c>
      <c r="B29">
        <v>0.7471</v>
      </c>
      <c r="C29">
        <f>'sinh12'!G5</f>
      </c>
      <c r="D29">
        <f>IF(ISERROR(C29),LEFT(B29&amp;"",1)="#",IF(ISNUMBER(C29),AND(ISNUMBER(B29),ABS(C29-B29)&lt;=0.000001*MAX(1,ABS(B29))),EXACT(C29&amp;"",B29&amp;"")))</f>
      </c>
      <c r="E29">
        <f>ISERROR(C29)</f>
      </c>
    </row>
    <row r="30">
      <c r="A30" t="str">
        <v>G6</v>
      </c>
      <c r="B30">
        <v>0.5843</v>
      </c>
      <c r="C30">
        <f>'sinh12'!G6</f>
      </c>
      <c r="D30">
        <f>IF(ISERROR(C30),LEFT(B30&amp;"",1)="#",IF(ISNUMBER(C30),AND(ISNUMBER(B30),ABS(C30-B30)&lt;=0.000001*MAX(1,ABS(B30))),EXACT(C30&amp;"",B30&amp;"")))</f>
      </c>
      <c r="E30">
        <f>ISERROR(C30)</f>
      </c>
    </row>
    <row r="31">
      <c r="A31" t="str">
        <v>G7</v>
      </c>
      <c r="B31">
        <v>0.4071</v>
      </c>
      <c r="C31">
        <f>'sinh12'!G7</f>
      </c>
      <c r="D31">
        <f>IF(ISERROR(C31),LEFT(B31&amp;"",1)="#",IF(ISNUMBER(C31),AND(ISNUMBER(B31),ABS(C31-B31)&lt;=0.000001*MAX(1,ABS(B31))),EXACT(C31&amp;"",B31&amp;"")))</f>
      </c>
      <c r="E31">
        <f>ISERROR(C31)</f>
      </c>
    </row>
    <row r="32">
      <c r="A32" t="str">
        <v>G8</v>
      </c>
      <c r="B32">
        <v>0.5781</v>
      </c>
      <c r="C32">
        <f>'sinh12'!G8</f>
      </c>
      <c r="D32">
        <f>IF(ISERROR(C32),LEFT(B32&amp;"",1)="#",IF(ISNUMBER(C32),AND(ISNUMBER(B32),ABS(C32-B32)&lt;=0.000001*MAX(1,ABS(B32))),EXACT(C32&amp;"",B32&amp;"")))</f>
      </c>
      <c r="E32">
        <f>ISERROR(C32)</f>
      </c>
    </row>
    <row r="33">
      <c r="A33" t="str">
        <v>G9</v>
      </c>
      <c r="B33">
        <v>0.4919</v>
      </c>
      <c r="C33">
        <f>'sinh12'!G9</f>
      </c>
      <c r="D33">
        <f>IF(ISERROR(C33),LEFT(B33&amp;"",1)="#",IF(ISNUMBER(C33),AND(ISNUMBER(B33),ABS(C33-B33)&lt;=0.000001*MAX(1,ABS(B33))),EXACT(C33&amp;"",B33&amp;"")))</f>
      </c>
      <c r="E33">
        <f>ISERROR(C33)</f>
      </c>
    </row>
    <row r="34">
      <c r="A34" t="str">
        <v>G10</v>
      </c>
      <c r="B34">
        <v>0.5114</v>
      </c>
      <c r="C34">
        <f>'sinh12'!G10</f>
      </c>
      <c r="D34">
        <f>IF(ISERROR(C34),LEFT(B34&amp;"",1)="#",IF(ISNUMBER(C34),AND(ISNUMBER(B34),ABS(C34-B34)&lt;=0.000001*MAX(1,ABS(B34))),EXACT(C34&amp;"",B34&amp;"")))</f>
      </c>
      <c r="E34">
        <f>ISERROR(C34)</f>
      </c>
    </row>
    <row r="35">
      <c r="A35" t="str">
        <v>G11</v>
      </c>
      <c r="B35">
        <v>0.4</v>
      </c>
      <c r="C35">
        <f>'sinh12'!G11</f>
      </c>
      <c r="D35">
        <f>IF(ISERROR(C35),LEFT(B35&amp;"",1)="#",IF(ISNUMBER(C35),AND(ISNUMBER(B35),ABS(C35-B35)&lt;=0.000001*MAX(1,ABS(B35))),EXACT(C35&amp;"",B35&amp;"")))</f>
      </c>
      <c r="E35">
        <f>ISERROR(C35)</f>
      </c>
    </row>
    <row r="36">
      <c r="A36" t="str">
        <v>G12</v>
      </c>
      <c r="B36">
        <v>0.4444</v>
      </c>
      <c r="C36">
        <f>'sinh12'!G12</f>
      </c>
      <c r="D36">
        <f>IF(ISERROR(C36),LEFT(B36&amp;"",1)="#",IF(ISNUMBER(C36),AND(ISNUMBER(B36),ABS(C36-B36)&lt;=0.000001*MAX(1,ABS(B36))),EXACT(C36&amp;"",B36&amp;"")))</f>
      </c>
      <c r="E36">
        <f>ISERROR(C36)</f>
      </c>
    </row>
    <row r="37">
      <c r="A37" t="str">
        <v>G13</v>
      </c>
      <c r="B37">
        <v>0.6589</v>
      </c>
      <c r="C37">
        <f>'sinh12'!G13</f>
      </c>
      <c r="D37">
        <f>IF(ISERROR(C37),LEFT(B37&amp;"",1)="#",IF(ISNUMBER(C37),AND(ISNUMBER(B37),ABS(C37-B37)&lt;=0.000001*MAX(1,ABS(B37))),EXACT(C37&amp;"",B37&amp;"")))</f>
      </c>
      <c r="E37">
        <f>ISERROR(C37)</f>
      </c>
    </row>
    <row r="38">
      <c r="A38" t="str">
        <v>H2</v>
      </c>
      <c r="B38">
        <v>0.25</v>
      </c>
      <c r="C38">
        <f>'sinh12'!H2</f>
      </c>
      <c r="D38">
        <f>IF(ISERROR(C38),LEFT(B38&amp;"",1)="#",IF(ISNUMBER(C38),AND(ISNUMBER(B38),ABS(C38-B38)&lt;=0.000001*MAX(1,ABS(B38))),EXACT(C38&amp;"",B38&amp;"")))</f>
      </c>
      <c r="E38">
        <f>ISERROR(C38)</f>
      </c>
    </row>
    <row r="39">
      <c r="A39" t="str">
        <v>H3</v>
      </c>
      <c r="B39">
        <v>0.6</v>
      </c>
      <c r="C39">
        <f>'sinh12'!H3</f>
      </c>
      <c r="D39">
        <f>IF(ISERROR(C39),LEFT(B39&amp;"",1)="#",IF(ISNUMBER(C39),AND(ISNUMBER(B39),ABS(C39-B39)&lt;=0.000001*MAX(1,ABS(B39))),EXACT(C39&amp;"",B39&amp;"")))</f>
      </c>
      <c r="E39">
        <f>ISERROR(C39)</f>
      </c>
    </row>
    <row r="40">
      <c r="A40" t="str">
        <v>H4</v>
      </c>
      <c r="B40">
        <v>0.4</v>
      </c>
      <c r="C40">
        <f>'sinh12'!H4</f>
      </c>
      <c r="D40">
        <f>IF(ISERROR(C40),LEFT(B40&amp;"",1)="#",IF(ISNUMBER(C40),AND(ISNUMBER(B40),ABS(C40-B40)&lt;=0.000001*MAX(1,ABS(B40))),EXACT(C40&amp;"",B40&amp;"")))</f>
      </c>
      <c r="E40">
        <f>ISERROR(C40)</f>
      </c>
    </row>
    <row r="41">
      <c r="A41" t="str">
        <v>H5</v>
      </c>
      <c r="B41">
        <v>0.1412</v>
      </c>
      <c r="C41">
        <f>'sinh12'!H5</f>
      </c>
      <c r="D41">
        <f>IF(ISERROR(C41),LEFT(B41&amp;"",1)="#",IF(ISNUMBER(C41),AND(ISNUMBER(B41),ABS(C41-B41)&lt;=0.000001*MAX(1,ABS(B41))),EXACT(C41&amp;"",B41&amp;"")))</f>
      </c>
      <c r="E41">
        <f>ISERROR(C41)</f>
      </c>
    </row>
    <row r="42">
      <c r="A42" t="str">
        <v>H6</v>
      </c>
      <c r="B42">
        <v>0.1124</v>
      </c>
      <c r="C42">
        <f>'sinh12'!H6</f>
      </c>
      <c r="D42">
        <f>IF(ISERROR(C42),LEFT(B42&amp;"",1)="#",IF(ISNUMBER(C42),AND(ISNUMBER(B42),ABS(C42-B42)&lt;=0.000001*MAX(1,ABS(B42))),EXACT(C42&amp;"",B42&amp;"")))</f>
      </c>
      <c r="E42">
        <f>ISERROR(C42)</f>
      </c>
    </row>
    <row r="43">
      <c r="A43" t="str">
        <v>H7</v>
      </c>
      <c r="B43">
        <v>0.4071</v>
      </c>
      <c r="C43">
        <f>'sinh12'!H7</f>
      </c>
      <c r="D43">
        <f>IF(ISERROR(C43),LEFT(B43&amp;"",1)="#",IF(ISNUMBER(C43),AND(ISNUMBER(B43),ABS(C43-B43)&lt;=0.000001*MAX(1,ABS(B43))),EXACT(C43&amp;"",B43&amp;"")))</f>
      </c>
      <c r="E43">
        <f>ISERROR(C43)</f>
      </c>
    </row>
    <row r="44">
      <c r="A44" t="str">
        <v>H8</v>
      </c>
      <c r="B44">
        <v>0.2188</v>
      </c>
      <c r="C44">
        <f>'sinh12'!H8</f>
      </c>
      <c r="D44">
        <f>IF(ISERROR(C44),LEFT(B44&amp;"",1)="#",IF(ISNUMBER(C44),AND(ISNUMBER(B44),ABS(C44-B44)&lt;=0.000001*MAX(1,ABS(B44))),EXACT(C44&amp;"",B44&amp;"")))</f>
      </c>
      <c r="E44">
        <f>ISERROR(C44)</f>
      </c>
    </row>
    <row r="45">
      <c r="A45" t="str">
        <v>H9</v>
      </c>
      <c r="B45">
        <v>0.4228</v>
      </c>
      <c r="C45">
        <f>'sinh12'!H9</f>
      </c>
      <c r="D45">
        <f>IF(ISERROR(C45),LEFT(B45&amp;"",1)="#",IF(ISNUMBER(C45),AND(ISNUMBER(B45),ABS(C45-B45)&lt;=0.000001*MAX(1,ABS(B45))),EXACT(C45&amp;"",B45&amp;"")))</f>
      </c>
      <c r="E45">
        <f>ISERROR(C45)</f>
      </c>
    </row>
    <row r="46">
      <c r="A46" t="str">
        <v>H10</v>
      </c>
      <c r="B46">
        <v>0.4091</v>
      </c>
      <c r="C46">
        <f>'sinh12'!H10</f>
      </c>
      <c r="D46">
        <f>IF(ISERROR(C46),LEFT(B46&amp;"",1)="#",IF(ISNUMBER(C46),AND(ISNUMBER(B46),ABS(C46-B46)&lt;=0.000001*MAX(1,ABS(B46))),EXACT(C46&amp;"",B46&amp;"")))</f>
      </c>
      <c r="E46">
        <f>ISERROR(C46)</f>
      </c>
    </row>
    <row r="47">
      <c r="A47" t="str">
        <v>H11</v>
      </c>
      <c r="B47">
        <v>0.5091</v>
      </c>
      <c r="C47">
        <f>'sinh12'!H11</f>
      </c>
      <c r="D47">
        <f>IF(ISERROR(C47),LEFT(B47&amp;"",1)="#",IF(ISNUMBER(C47),AND(ISNUMBER(B47),ABS(C47-B47)&lt;=0.000001*MAX(1,ABS(B47))),EXACT(C47&amp;"",B47&amp;"")))</f>
      </c>
      <c r="E47">
        <f>ISERROR(C47)</f>
      </c>
    </row>
    <row r="48">
      <c r="A48" t="str">
        <v>H12</v>
      </c>
      <c r="B48">
        <v>0.321</v>
      </c>
      <c r="C48">
        <f>'sinh12'!H12</f>
      </c>
      <c r="D48">
        <f>IF(ISERROR(C48),LEFT(B48&amp;"",1)="#",IF(ISNUMBER(C48),AND(ISNUMBER(B48),ABS(C48-B48)&lt;=0.000001*MAX(1,ABS(B48))),EXACT(C48&amp;"",B48&amp;"")))</f>
      </c>
      <c r="E48">
        <f>ISERROR(C48)</f>
      </c>
    </row>
    <row r="49">
      <c r="A49" t="str">
        <v>H13</v>
      </c>
      <c r="B49">
        <v>0.1869</v>
      </c>
      <c r="C49">
        <f>'sinh12'!H13</f>
      </c>
      <c r="D49">
        <f>IF(ISERROR(C49),LEFT(B49&amp;"",1)="#",IF(ISNUMBER(C49),AND(ISNUMBER(B49),ABS(C49-B49)&lt;=0.000001*MAX(1,ABS(B49))),EXACT(C49&amp;"",B49&amp;"")))</f>
      </c>
      <c r="E49">
        <f>ISERROR(C49)</f>
      </c>
    </row>
    <row r="50">
      <c r="A50" t="str">
        <v>I2</v>
      </c>
      <c r="B50">
        <v>0.25</v>
      </c>
      <c r="C50">
        <f>'sinh12'!I2</f>
      </c>
      <c r="D50">
        <f>IF(ISERROR(C50),LEFT(B50&amp;"",1)="#",IF(ISNUMBER(C50),AND(ISNUMBER(B50),ABS(C50-B50)&lt;=0.000001*MAX(1,ABS(B50))),EXACT(C50&amp;"",B50&amp;"")))</f>
      </c>
      <c r="E50">
        <f>ISERROR(C50)</f>
      </c>
    </row>
    <row r="51">
      <c r="A51" t="str">
        <v>I3</v>
      </c>
      <c r="B51">
        <v>0.4225</v>
      </c>
      <c r="C51">
        <f>'sinh12'!I3</f>
      </c>
      <c r="D51">
        <f>IF(ISERROR(C51),LEFT(B51&amp;"",1)="#",IF(ISNUMBER(C51),AND(ISNUMBER(B51),ABS(C51-B51)&lt;=0.000001*MAX(1,ABS(B51))),EXACT(C51&amp;"",B51&amp;"")))</f>
      </c>
      <c r="E51">
        <f>ISERROR(C51)</f>
      </c>
    </row>
    <row r="52">
      <c r="A52" t="str">
        <v>I4</v>
      </c>
      <c r="B52">
        <v>0.2976</v>
      </c>
      <c r="C52">
        <f>'sinh12'!I4</f>
      </c>
      <c r="D52">
        <f>IF(ISERROR(C52),LEFT(B52&amp;"",1)="#",IF(ISNUMBER(C52),AND(ISNUMBER(B52),ABS(C52-B52)&lt;=0.000001*MAX(1,ABS(B52))),EXACT(C52&amp;"",B52&amp;"")))</f>
      </c>
      <c r="E52">
        <f>ISERROR(C52)</f>
      </c>
    </row>
    <row r="53">
      <c r="A53" t="str">
        <v>I5</v>
      </c>
      <c r="B53">
        <v>0.064</v>
      </c>
      <c r="C53">
        <f>'sinh12'!I5</f>
      </c>
      <c r="D53">
        <f>IF(ISERROR(C53),LEFT(B53&amp;"",1)="#",IF(ISNUMBER(C53),AND(ISNUMBER(B53),ABS(C53-B53)&lt;=0.000001*MAX(1,ABS(B53))),EXACT(C53&amp;"",B53&amp;"")))</f>
      </c>
      <c r="E53">
        <f>ISERROR(C53)</f>
      </c>
    </row>
    <row r="54">
      <c r="A54" t="str">
        <v>I6</v>
      </c>
      <c r="B54">
        <v>0.1728</v>
      </c>
      <c r="C54">
        <f>'sinh12'!I6</f>
      </c>
      <c r="D54">
        <f>IF(ISERROR(C54),LEFT(B54&amp;"",1)="#",IF(ISNUMBER(C54),AND(ISNUMBER(B54),ABS(C54-B54)&lt;=0.000001*MAX(1,ABS(B54))),EXACT(C54&amp;"",B54&amp;"")))</f>
      </c>
      <c r="E54">
        <f>ISERROR(C54)</f>
      </c>
    </row>
    <row r="55">
      <c r="A55" t="str">
        <v>I7</v>
      </c>
      <c r="B55">
        <v>0.3515</v>
      </c>
      <c r="C55">
        <f>'sinh12'!I7</f>
      </c>
      <c r="D55">
        <f>IF(ISERROR(C55),LEFT(B55&amp;"",1)="#",IF(ISNUMBER(C55),AND(ISNUMBER(B55),ABS(C55-B55)&lt;=0.000001*MAX(1,ABS(B55))),EXACT(C55&amp;"",B55&amp;"")))</f>
      </c>
      <c r="E55">
        <f>ISERROR(C55)</f>
      </c>
    </row>
    <row r="56">
      <c r="A56" t="str">
        <v>I8</v>
      </c>
      <c r="B56">
        <v>0.178</v>
      </c>
      <c r="C56">
        <f>'sinh12'!I8</f>
      </c>
      <c r="D56">
        <f>IF(ISERROR(C56),LEFT(B56&amp;"",1)="#",IF(ISNUMBER(C56),AND(ISNUMBER(B56),ABS(C56-B56)&lt;=0.000001*MAX(1,ABS(B56))),EXACT(C56&amp;"",B56&amp;"")))</f>
      </c>
      <c r="E56">
        <f>ISERROR(C56)</f>
      </c>
    </row>
    <row r="57">
      <c r="A57" t="str">
        <v>I9</v>
      </c>
      <c r="B57">
        <v>0.2582</v>
      </c>
      <c r="C57">
        <f>'sinh12'!I9</f>
      </c>
      <c r="D57">
        <f>IF(ISERROR(C57),LEFT(B57&amp;"",1)="#",IF(ISNUMBER(C57),AND(ISNUMBER(B57),ABS(C57-B57)&lt;=0.000001*MAX(1,ABS(B57))),EXACT(C57&amp;"",B57&amp;"")))</f>
      </c>
      <c r="E57">
        <f>ISERROR(C57)</f>
      </c>
    </row>
    <row r="58">
      <c r="A58" t="str">
        <v>I10</v>
      </c>
      <c r="B58">
        <v>0.2387</v>
      </c>
      <c r="C58">
        <f>'sinh12'!I10</f>
      </c>
      <c r="D58">
        <f>IF(ISERROR(C58),LEFT(B58&amp;"",1)="#",IF(ISNUMBER(C58),AND(ISNUMBER(B58),ABS(C58-B58)&lt;=0.000001*MAX(1,ABS(B58))),EXACT(C58&amp;"",B58&amp;"")))</f>
      </c>
      <c r="E58">
        <f>ISERROR(C58)</f>
      </c>
    </row>
    <row r="59">
      <c r="A59" t="str">
        <v>I11</v>
      </c>
      <c r="B59">
        <v>0.36</v>
      </c>
      <c r="C59">
        <f>'sinh12'!I11</f>
      </c>
      <c r="D59">
        <f>IF(ISERROR(C59),LEFT(B59&amp;"",1)="#",IF(ISNUMBER(C59),AND(ISNUMBER(B59),ABS(C59-B59)&lt;=0.000001*MAX(1,ABS(B59))),EXACT(C59&amp;"",B59&amp;"")))</f>
      </c>
      <c r="E59">
        <f>ISERROR(C59)</f>
      </c>
    </row>
    <row r="60">
      <c r="A60" t="str">
        <v>I12</v>
      </c>
      <c r="B60">
        <v>0.3087</v>
      </c>
      <c r="C60">
        <f>'sinh12'!I12</f>
      </c>
      <c r="D60">
        <f>IF(ISERROR(C60),LEFT(B60&amp;"",1)="#",IF(ISNUMBER(C60),AND(ISNUMBER(B60),ABS(C60-B60)&lt;=0.000001*MAX(1,ABS(B60))),EXACT(C60&amp;"",B60&amp;"")))</f>
      </c>
      <c r="E60">
        <f>ISERROR(C60)</f>
      </c>
    </row>
    <row r="61">
      <c r="A61" t="str">
        <v>I13</v>
      </c>
      <c r="B61">
        <v>0.1163</v>
      </c>
      <c r="C61">
        <f>'sinh12'!I13</f>
      </c>
      <c r="D61">
        <f>IF(ISERROR(C61),LEFT(B61&amp;"",1)="#",IF(ISNUMBER(C61),AND(ISNUMBER(B61),ABS(C61-B61)&lt;=0.000001*MAX(1,ABS(B61))),EXACT(C61&amp;"",B61&amp;"")))</f>
      </c>
      <c r="E61">
        <f>ISERROR(C61)</f>
      </c>
    </row>
    <row r="62">
      <c r="A62" t="str">
        <v>J2</v>
      </c>
      <c r="B62" t="str">
        <v>CAN BANG</v>
      </c>
      <c r="C62">
        <f>'sinh12'!J2</f>
      </c>
      <c r="D62">
        <f>IF(ISERROR(C62),LEFT(B62&amp;"",1)="#",IF(ISNUMBER(C62),AND(ISNUMBER(B62),ABS(C62-B62)&lt;=0.000001*MAX(1,ABS(B62))),EXACT(C62&amp;"",B62&amp;"")))</f>
      </c>
      <c r="E62">
        <f>ISERROR(C62)</f>
      </c>
    </row>
    <row r="63">
      <c r="A63" t="str">
        <v>J3</v>
      </c>
      <c r="B63" t="str">
        <v>LECH</v>
      </c>
      <c r="C63">
        <f>'sinh12'!J3</f>
      </c>
      <c r="D63">
        <f>IF(ISERROR(C63),LEFT(B63&amp;"",1)="#",IF(ISNUMBER(C63),AND(ISNUMBER(B63),ABS(C63-B63)&lt;=0.000001*MAX(1,ABS(B63))),EXACT(C63&amp;"",B63&amp;"")))</f>
      </c>
      <c r="E63">
        <f>ISERROR(C63)</f>
      </c>
    </row>
    <row r="64">
      <c r="A64" t="str">
        <v>J4</v>
      </c>
      <c r="B64" t="str">
        <v>LECH</v>
      </c>
      <c r="C64">
        <f>'sinh12'!J4</f>
      </c>
      <c r="D64">
        <f>IF(ISERROR(C64),LEFT(B64&amp;"",1)="#",IF(ISNUMBER(C64),AND(ISNUMBER(B64),ABS(C64-B64)&lt;=0.000001*MAX(1,ABS(B64))),EXACT(C64&amp;"",B64&amp;"")))</f>
      </c>
      <c r="E64">
        <f>ISERROR(C64)</f>
      </c>
    </row>
    <row r="65">
      <c r="A65" t="str">
        <v>J5</v>
      </c>
      <c r="B65" t="str">
        <v>LECH</v>
      </c>
      <c r="C65">
        <f>'sinh12'!J5</f>
      </c>
      <c r="D65">
        <f>IF(ISERROR(C65),LEFT(B65&amp;"",1)="#",IF(ISNUMBER(C65),AND(ISNUMBER(B65),ABS(C65-B65)&lt;=0.000001*MAX(1,ABS(B65))),EXACT(C65&amp;"",B65&amp;"")))</f>
      </c>
      <c r="E65">
        <f>ISERROR(C65)</f>
      </c>
    </row>
    <row r="66">
      <c r="A66" t="str">
        <v>J6</v>
      </c>
      <c r="B66" t="str">
        <v>LECH</v>
      </c>
      <c r="C66">
        <f>'sinh12'!J6</f>
      </c>
      <c r="D66">
        <f>IF(ISERROR(C66),LEFT(B66&amp;"",1)="#",IF(ISNUMBER(C66),AND(ISNUMBER(B66),ABS(C66-B66)&lt;=0.000001*MAX(1,ABS(B66))),EXACT(C66&amp;"",B66&amp;"")))</f>
      </c>
      <c r="E66">
        <f>ISERROR(C66)</f>
      </c>
    </row>
    <row r="67">
      <c r="A67" t="str">
        <v>J7</v>
      </c>
      <c r="B67" t="str">
        <v>LECH</v>
      </c>
      <c r="C67">
        <f>'sinh12'!J7</f>
      </c>
      <c r="D67">
        <f>IF(ISERROR(C67),LEFT(B67&amp;"",1)="#",IF(ISNUMBER(C67),AND(ISNUMBER(B67),ABS(C67-B67)&lt;=0.000001*MAX(1,ABS(B67))),EXACT(C67&amp;"",B67&amp;"")))</f>
      </c>
      <c r="E67">
        <f>ISERROR(C67)</f>
      </c>
    </row>
    <row r="68">
      <c r="A68" t="str">
        <v>J8</v>
      </c>
      <c r="B68" t="str">
        <v>CAN BANG</v>
      </c>
      <c r="C68">
        <f>'sinh12'!J8</f>
      </c>
      <c r="D68">
        <f>IF(ISERROR(C68),LEFT(B68&amp;"",1)="#",IF(ISNUMBER(C68),AND(ISNUMBER(B68),ABS(C68-B68)&lt;=0.000001*MAX(1,ABS(B68))),EXACT(C68&amp;"",B68&amp;"")))</f>
      </c>
      <c r="E68">
        <f>ISERROR(C68)</f>
      </c>
    </row>
    <row r="69">
      <c r="A69" t="str">
        <v>J9</v>
      </c>
      <c r="B69" t="str">
        <v>LECH</v>
      </c>
      <c r="C69">
        <f>'sinh12'!J9</f>
      </c>
      <c r="D69">
        <f>IF(ISERROR(C69),LEFT(B69&amp;"",1)="#",IF(ISNUMBER(C69),AND(ISNUMBER(B69),ABS(C69-B69)&lt;=0.000001*MAX(1,ABS(B69))),EXACT(C69&amp;"",B69&amp;"")))</f>
      </c>
      <c r="E69">
        <f>ISERROR(C69)</f>
      </c>
    </row>
    <row r="70">
      <c r="A70" t="str">
        <v>J10</v>
      </c>
      <c r="B70" t="str">
        <v>LECH</v>
      </c>
      <c r="C70">
        <f>'sinh12'!J10</f>
      </c>
      <c r="D70">
        <f>IF(ISERROR(C70),LEFT(B70&amp;"",1)="#",IF(ISNUMBER(C70),AND(ISNUMBER(B70),ABS(C70-B70)&lt;=0.000001*MAX(1,ABS(B70))),EXACT(C70&amp;"",B70&amp;"")))</f>
      </c>
      <c r="E70">
        <f>ISERROR(C70)</f>
      </c>
    </row>
    <row r="71">
      <c r="A71" t="str">
        <v>J11</v>
      </c>
      <c r="B71" t="str">
        <v>LECH</v>
      </c>
      <c r="C71">
        <f>'sinh12'!J11</f>
      </c>
      <c r="D71">
        <f>IF(ISERROR(C71),LEFT(B71&amp;"",1)="#",IF(ISNUMBER(C71),AND(ISNUMBER(B71),ABS(C71-B71)&lt;=0.000001*MAX(1,ABS(B71))),EXACT(C71&amp;"",B71&amp;"")))</f>
      </c>
      <c r="E71">
        <f>ISERROR(C71)</f>
      </c>
    </row>
    <row r="72">
      <c r="A72" t="str">
        <v>J12</v>
      </c>
      <c r="B72" t="str">
        <v>CAN BANG</v>
      </c>
      <c r="C72">
        <f>'sinh12'!J12</f>
      </c>
      <c r="D72">
        <f>IF(ISERROR(C72),LEFT(B72&amp;"",1)="#",IF(ISNUMBER(C72),AND(ISNUMBER(B72),ABS(C72-B72)&lt;=0.000001*MAX(1,ABS(B72))),EXACT(C72&amp;"",B72&amp;"")))</f>
      </c>
      <c r="E72">
        <f>ISERROR(C72)</f>
      </c>
    </row>
    <row r="73">
      <c r="A73" t="str">
        <v>J13</v>
      </c>
      <c r="B73" t="str">
        <v>LECH</v>
      </c>
      <c r="C73">
        <f>'sinh12'!J13</f>
      </c>
      <c r="D73">
        <f>IF(ISERROR(C73),LEFT(B73&amp;"",1)="#",IF(ISNUMBER(C73),AND(ISNUMBER(B73),ABS(C73-B73)&lt;=0.000001*MAX(1,ABS(B73))),EXACT(C73&amp;"",B73&amp;"")))</f>
      </c>
      <c r="E73">
        <f>ISERROR(C73)</f>
      </c>
    </row>
    <row r="74">
      <c r="A74" t="str">
        <v>Z2</v>
      </c>
      <c r="B74" t="str">
        <v>QT02</v>
      </c>
      <c r="C74">
        <f>'sinh12'!Z2</f>
      </c>
      <c r="D74">
        <f>IF(ISERROR(C74),LEFT(B74&amp;"",1)="#",IF(ISNUMBER(C74),AND(ISNUMBER(B74),ABS(C74-B74)&lt;=0.000001*MAX(1,ABS(B74))),EXACT(C74&amp;"",B74&amp;"")))</f>
      </c>
      <c r="E74">
        <f>ISERROR(C74)</f>
      </c>
    </row>
    <row r="75">
      <c r="A75" t="str">
        <v>Z3</v>
      </c>
      <c r="B75">
        <v>309</v>
      </c>
      <c r="C75">
        <f>'sinh12'!Z3</f>
      </c>
      <c r="D75">
        <f>IF(ISERROR(C75),LEFT(B75&amp;"",1)="#",IF(ISNUMBER(C75),AND(ISNUMBER(B75),ABS(C75-B75)&lt;=0.000001*MAX(1,ABS(B75))),EXACT(C75&amp;"",B75&amp;"")))</f>
      </c>
      <c r="E75">
        <f>ISERROR(C75)</f>
      </c>
    </row>
    <row r="76">
      <c r="A76" t="str">
        <v>Z4</v>
      </c>
      <c r="B76">
        <v>4</v>
      </c>
      <c r="C76">
        <f>'sinh12'!Z4</f>
      </c>
      <c r="D76">
        <f>IF(ISERROR(C76),LEFT(B76&amp;"",1)="#",IF(ISNUMBER(C76),AND(ISNUMBER(B76),ABS(C76-B76)&lt;=0.000001*MAX(1,ABS(B76))),EXACT(C76&amp;"",B76&amp;"")))</f>
      </c>
      <c r="E76">
        <f>ISERROR(C76)</f>
      </c>
    </row>
    <row r="77">
      <c r="A77" t="str">
        <v>Z5</v>
      </c>
      <c r="B77">
        <v>0.48831111111111103</v>
      </c>
      <c r="C77">
        <f>'sinh12'!Z5</f>
      </c>
      <c r="D77">
        <f>IF(ISERROR(C77),LEFT(B77&amp;"",1)="#",IF(ISNUMBER(C77),AND(ISNUMBER(B77),ABS(C77-B77)&lt;=0.000001*MAX(1,ABS(B77))),EXACT(C77&amp;"",B77&amp;"")))</f>
      </c>
      <c r="E77">
        <f>ISERROR(C77)</f>
      </c>
    </row>
    <row r="78">
      <c r="A78" t="str">
        <v>Z6</v>
      </c>
      <c r="B78">
        <v>0.321</v>
      </c>
      <c r="C78">
        <f>'sinh12'!Z6</f>
      </c>
      <c r="D78">
        <f>IF(ISERROR(C78),LEFT(B78&amp;"",1)="#",IF(ISNUMBER(C78),AND(ISNUMBER(B78),ABS(C78-B78)&lt;=0.000001*MAX(1,ABS(B78))),EXACT(C78&amp;"",B78&amp;"")))</f>
      </c>
      <c r="E78">
        <f>ISERROR(C78)</f>
      </c>
    </row>
    <row r="79">
      <c r="A79" t="str">
        <v>Z7</v>
      </c>
      <c r="B79">
        <v>0.50405</v>
      </c>
      <c r="C79">
        <f>'sinh12'!Z7</f>
      </c>
      <c r="D79">
        <f>IF(ISERROR(C79),LEFT(B79&amp;"",1)="#",IF(ISNUMBER(C79),AND(ISNUMBER(B79),ABS(C79-B79)&lt;=0.000001*MAX(1,ABS(B79))),EXACT(C79&amp;"",B79&amp;"")))</f>
      </c>
      <c r="E79">
        <f>ISERROR(C79)</f>
      </c>
    </row>
    <row r="80">
      <c r="A80" t="str">
        <v>Z8</v>
      </c>
      <c r="B80">
        <v>0.6</v>
      </c>
      <c r="C80">
        <f>'sinh12'!Z8</f>
      </c>
      <c r="D80">
        <f>IF(ISERROR(C80),LEFT(B80&amp;"",1)="#",IF(ISNUMBER(C80),AND(ISNUMBER(B80),ABS(C80-B80)&lt;=0.000001*MAX(1,ABS(B80))),EXACT(C80&amp;"",B80&amp;"")))</f>
      </c>
      <c r="E80">
        <f>ISERROR(C80)</f>
      </c>
    </row>
    <row r="81">
      <c r="A81" t="str">
        <v>Z9</v>
      </c>
      <c r="B81">
        <v>0.1147</v>
      </c>
      <c r="C81">
        <f>'sinh12'!Z9</f>
      </c>
      <c r="D81">
        <f>IF(ISERROR(C81),LEFT(B81&amp;"",1)="#",IF(ISNUMBER(C81),AND(ISNUMBER(B81),ABS(C81-B81)&lt;=0.000001*MAX(1,ABS(B81))),EXACT(C81&amp;"",B81&amp;"")))</f>
      </c>
      <c r="E81">
        <f>ISERROR(C81)</f>
      </c>
    </row>
    <row r="82">
      <c r="A82" t="str">
        <v>Z10</v>
      </c>
      <c r="B82">
        <v>309</v>
      </c>
      <c r="C82">
        <f>'sinh12'!Z10</f>
      </c>
      <c r="D82">
        <f>IF(ISERROR(C82),LEFT(B82&amp;"",1)="#",IF(ISNUMBER(C82),AND(ISNUMBER(B82),ABS(C82-B82)&lt;=0.000001*MAX(1,ABS(B82))),EXACT(C82&amp;"",B82&amp;"")))</f>
      </c>
      <c r="E82">
        <f>ISERROR(C82)</f>
      </c>
    </row>
    <row r="83">
      <c r="A83" t="str">
        <v>Z11</v>
      </c>
      <c r="B83">
        <v>3</v>
      </c>
      <c r="C83">
        <f>'sinh12'!Z11</f>
      </c>
      <c r="D83">
        <f>IF(ISERROR(C83),LEFT(B83&amp;"",1)="#",IF(ISNUMBER(C83),AND(ISNUMBER(B83),ABS(C83-B83)&lt;=0.000001*MAX(1,ABS(B83))),EXACT(C83&amp;"",B83&amp;"")))</f>
      </c>
      <c r="E83">
        <f>ISERROR(C83)</f>
      </c>
    </row>
    <row r="84">
      <c r="A84" t="str">
        <v>Z12</v>
      </c>
      <c r="B84">
        <v>309</v>
      </c>
      <c r="C84">
        <f>'sinh12'!Z12</f>
      </c>
      <c r="D84">
        <f>IF(ISERROR(C84),LEFT(B84&amp;"",1)="#",IF(ISNUMBER(C84),AND(ISNUMBER(B84),ABS(C84-B84)&lt;=0.000001*MAX(1,ABS(B84))),EXACT(C84&amp;"",B84&amp;"")))</f>
      </c>
      <c r="E84">
        <f>ISERROR(C84)</f>
      </c>
    </row>
    <row r="85">
      <c r="A85" t="str">
        <v>Z13</v>
      </c>
      <c r="B85">
        <v>16417</v>
      </c>
      <c r="C85">
        <f>'sinh12'!Z13</f>
      </c>
      <c r="D85">
        <f>IF(ISERROR(C85),LEFT(B85&amp;"",1)="#",IF(ISNUMBER(C85),AND(ISNUMBER(B85),ABS(C85-B85)&lt;=0.000001*MAX(1,ABS(B85))),EXACT(C85&amp;"",B85&amp;"")))</f>
      </c>
      <c r="E85">
        <f>ISERROR(C85)</f>
      </c>
    </row>
  </sheetData>
  <ignoredErrors>
    <ignoredError numberStoredAsText="1" sqref="A1:E85"/>
  </ignoredErrors>
</worksheet>
</file>

<file path=xl/worksheets/sheet56.xml><?xml version="1.0" encoding="utf-8"?>
<worksheet xmlns="http://schemas.openxmlformats.org/spreadsheetml/2006/main" xmlns:r="http://schemas.openxmlformats.org/officeDocument/2006/relationships">
  <dimension ref="A1:Z14"/>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MaPhieu</v>
      </c>
      <c r="B1" t="str">
        <v>Khu</v>
      </c>
      <c r="C1" t="str">
        <v>Tuoi</v>
      </c>
      <c r="D1" t="str">
        <v>MucHL</v>
      </c>
      <c r="E1" t="str">
        <v>ChiTieu</v>
      </c>
      <c r="F1" t="str">
        <v>NhomTuoi</v>
      </c>
      <c r="G1" t="str">
        <v>HaiLong</v>
      </c>
      <c r="H1" t="str">
        <v>TyTrongCT</v>
      </c>
      <c r="W1" t="str">
        <v>Khu</v>
      </c>
      <c r="Y1" t="str">
        <v>TongHop</v>
      </c>
      <c r="Z1" t="str">
        <v>KetQua</v>
      </c>
    </row>
    <row r="2">
      <c r="A2" t="str">
        <v>P001</v>
      </c>
      <c r="B2" t="str">
        <v>A</v>
      </c>
      <c r="C2">
        <v>47</v>
      </c>
      <c r="D2">
        <v>3</v>
      </c>
      <c r="E2">
        <v>2660</v>
      </c>
      <c r="F2" t="str">
        <f>IF(C2&lt;25,"TRE",IF(C2&lt;45,"TRUNG NIEN","CAO TUOI"))</f>
        <v>CAO TUOI</v>
      </c>
      <c r="G2" t="str">
        <f>IF(D2&gt;=4,"CO","KHONG")</f>
        <v>KHONG</v>
      </c>
      <c r="H2">
        <f>ROUND(E2/SUM($E$2:$E$13),4)</f>
        <v>0.0835</v>
      </c>
      <c r="W2" t="str">
        <v>A</v>
      </c>
      <c r="Y2" t="str">
        <v>Ma MaPhieu co ChiTieu lon nhat</v>
      </c>
      <c r="Z2" t="str">
        <f>INDEX(A2:A13,MATCH(MAX(E2:E13),E2:E13,0))</f>
        <v>P002</v>
      </c>
    </row>
    <row r="3">
      <c r="A3" t="str">
        <v>P002</v>
      </c>
      <c r="B3" t="str">
        <v>B</v>
      </c>
      <c r="C3">
        <v>20</v>
      </c>
      <c r="D3">
        <v>1</v>
      </c>
      <c r="E3">
        <v>4460</v>
      </c>
      <c r="F3" t="str">
        <f>IF(C3&lt;25,"TRE",IF(C3&lt;45,"TRUNG NIEN","CAO TUOI"))</f>
        <v>TRE</v>
      </c>
      <c r="G3" t="str">
        <f>IF(D3&gt;=4,"CO","KHONG")</f>
        <v>KHONG</v>
      </c>
      <c r="H3">
        <f>ROUND(E3/SUM($E$2:$E$13),4)</f>
        <v>0.14</v>
      </c>
      <c r="Y3" t="str">
        <v>Tong ChiTieu khi Khu = A</v>
      </c>
      <c r="Z3">
        <f>SUMIF(B2:B13,"A",E2:E13)</f>
        <v>4170</v>
      </c>
    </row>
    <row r="4">
      <c r="A4" t="str">
        <v>P003</v>
      </c>
      <c r="B4" t="str">
        <v>C</v>
      </c>
      <c r="C4">
        <v>18</v>
      </c>
      <c r="D4">
        <v>5</v>
      </c>
      <c r="E4">
        <v>1870</v>
      </c>
      <c r="F4" t="str">
        <f>IF(C4&lt;25,"TRE",IF(C4&lt;45,"TRUNG NIEN","CAO TUOI"))</f>
        <v>TRE</v>
      </c>
      <c r="G4" t="str">
        <f>IF(D4&gt;=4,"CO","KHONG")</f>
        <v>CO</v>
      </c>
      <c r="H4">
        <f>ROUND(E4/SUM($E$2:$E$13),4)</f>
        <v>0.0587</v>
      </c>
      <c r="Y4" t="str">
        <v>So dong Khu = B, MucHL &gt;=4</v>
      </c>
      <c r="Z4">
        <f>COUNTIFS(B2:B13,"B",D2:D13,"&gt;=4")</f>
        <v>3</v>
      </c>
    </row>
    <row r="5">
      <c r="A5" t="str">
        <v>P004</v>
      </c>
      <c r="B5" t="str">
        <v>D</v>
      </c>
      <c r="C5">
        <v>49</v>
      </c>
      <c r="D5">
        <v>4</v>
      </c>
      <c r="E5">
        <v>1860</v>
      </c>
      <c r="F5" t="str">
        <f>IF(C5&lt;25,"TRE",IF(C5&lt;45,"TRUNG NIEN","CAO TUOI"))</f>
        <v>CAO TUOI</v>
      </c>
      <c r="G5" t="str">
        <f>IF(D5&gt;=4,"CO","KHONG")</f>
        <v>CO</v>
      </c>
      <c r="H5">
        <f>ROUND(E5/SUM($E$2:$E$13),4)</f>
        <v>0.0584</v>
      </c>
      <c r="Y5" t="str">
        <v>ChiTieu trung binh khi Khu = C</v>
      </c>
      <c r="Z5">
        <f>AVERAGEIF(B2:B13,"C",E2:E13)</f>
        <v>1870</v>
      </c>
    </row>
    <row r="6">
      <c r="A6" t="str">
        <v>P005</v>
      </c>
      <c r="B6" t="str">
        <v>B</v>
      </c>
      <c r="C6">
        <v>54</v>
      </c>
      <c r="D6">
        <v>4</v>
      </c>
      <c r="E6">
        <v>4290</v>
      </c>
      <c r="F6" t="str">
        <f>IF(C6&lt;25,"TRE",IF(C6&lt;45,"TRUNG NIEN","CAO TUOI"))</f>
        <v>CAO TUOI</v>
      </c>
      <c r="G6" t="str">
        <f>IF(D6&gt;=4,"CO","KHONG")</f>
        <v>CO</v>
      </c>
      <c r="H6">
        <f>ROUND(E6/SUM($E$2:$E$13),4)</f>
        <v>0.1347</v>
      </c>
      <c r="Y6" t="str">
        <v>Tuoi lon nhat khi Khu = D</v>
      </c>
      <c r="Z6">
        <f>_xlfn.MAXIFS(C2:C13,B2:B13,"D")</f>
        <v>58</v>
      </c>
    </row>
    <row r="7">
      <c r="A7" t="str">
        <v>P006</v>
      </c>
      <c r="B7" t="str">
        <v>A</v>
      </c>
      <c r="C7">
        <v>51</v>
      </c>
      <c r="D7">
        <v>5</v>
      </c>
      <c r="E7">
        <v>1510</v>
      </c>
      <c r="F7" t="str">
        <f>IF(C7&lt;25,"TRE",IF(C7&lt;45,"TRUNG NIEN","CAO TUOI"))</f>
        <v>CAO TUOI</v>
      </c>
      <c r="G7" t="str">
        <f>IF(D7&gt;=4,"CO","KHONG")</f>
        <v>CO</v>
      </c>
      <c r="H7">
        <f>ROUND(E7/SUM($E$2:$E$13),4)</f>
        <v>0.0474</v>
      </c>
      <c r="Y7" t="str">
        <v>So phieu TRUNG NIEN hai long</v>
      </c>
      <c r="Z7">
        <f>COUNTIFS(F2:F13,"TRUNG NIEN",G2:G13,"CO")</f>
        <v>0</v>
      </c>
    </row>
    <row r="8">
      <c r="A8" t="str">
        <v>P007</v>
      </c>
      <c r="B8" t="str">
        <v>D</v>
      </c>
      <c r="C8">
        <v>57</v>
      </c>
      <c r="D8">
        <v>2</v>
      </c>
      <c r="E8">
        <v>2660</v>
      </c>
      <c r="F8" t="str">
        <f>IF(C8&lt;25,"TRE",IF(C8&lt;45,"TRUNG NIEN","CAO TUOI"))</f>
        <v>CAO TUOI</v>
      </c>
      <c r="G8" t="str">
        <f>IF(D8&gt;=4,"CO","KHONG")</f>
        <v>KHONG</v>
      </c>
      <c r="H8">
        <f>ROUND(E8/SUM($E$2:$E$13),4)</f>
        <v>0.0835</v>
      </c>
      <c r="Y8" t="str">
        <v>ChiTieu trung vi</v>
      </c>
      <c r="Z8">
        <f>MEDIAN(E2:E13)</f>
        <v>2460</v>
      </c>
    </row>
    <row r="9">
      <c r="A9" t="str">
        <v>P008</v>
      </c>
      <c r="B9" t="str">
        <v>B</v>
      </c>
      <c r="C9">
        <v>42</v>
      </c>
      <c r="D9">
        <v>1</v>
      </c>
      <c r="E9">
        <v>1460</v>
      </c>
      <c r="F9" t="str">
        <f>IF(C9&lt;25,"TRE",IF(C9&lt;45,"TRUNG NIEN","CAO TUOI"))</f>
        <v>TRUNG NIEN</v>
      </c>
      <c r="G9" t="str">
        <f>IF(D9&gt;=4,"CO","KHONG")</f>
        <v>KHONG</v>
      </c>
      <c r="H9">
        <f>ROUND(E9/SUM($E$2:$E$13),4)</f>
        <v>0.0458</v>
      </c>
      <c r="Y9" t="str">
        <v>ChiTieu lon thu hai</v>
      </c>
      <c r="Z9">
        <f>LARGE(E2:E13,2)</f>
        <v>4290</v>
      </c>
    </row>
    <row r="10">
      <c r="A10" t="str">
        <v>P009</v>
      </c>
      <c r="B10" t="str">
        <v>B</v>
      </c>
      <c r="C10">
        <v>55</v>
      </c>
      <c r="D10">
        <v>5</v>
      </c>
      <c r="E10">
        <v>3620</v>
      </c>
      <c r="F10" t="str">
        <f>IF(C10&lt;25,"TRE",IF(C10&lt;45,"TRUNG NIEN","CAO TUOI"))</f>
        <v>CAO TUOI</v>
      </c>
      <c r="G10" t="str">
        <f>IF(D10&gt;=4,"CO","KHONG")</f>
        <v>CO</v>
      </c>
      <c r="H10">
        <f>ROUND(E10/SUM($E$2:$E$13),4)</f>
        <v>0.1136</v>
      </c>
      <c r="Y10" t="str">
        <v>Do lech chuan Tuoi</v>
      </c>
      <c r="Z10">
        <f>ROUND(STDEV(C2:C13),2)</f>
        <v>15.51</v>
      </c>
    </row>
    <row r="11">
      <c r="A11" t="str">
        <v>P010</v>
      </c>
      <c r="B11" t="str">
        <v>D</v>
      </c>
      <c r="C11">
        <v>58</v>
      </c>
      <c r="D11">
        <v>5</v>
      </c>
      <c r="E11">
        <v>4040</v>
      </c>
      <c r="F11" t="str">
        <f>IF(C11&lt;25,"TRE",IF(C11&lt;45,"TRUNG NIEN","CAO TUOI"))</f>
        <v>CAO TUOI</v>
      </c>
      <c r="G11" t="str">
        <f>IF(D11&gt;=4,"CO","KHONG")</f>
        <v>CO</v>
      </c>
      <c r="H11">
        <f>ROUND(E11/SUM($E$2:$E$13),4)</f>
        <v>0.1268</v>
      </c>
      <c r="Y11" t="str">
        <v>Tong ChiTieu theo tieu chi W1:W2</v>
      </c>
      <c r="Z11">
        <f>DSUM(A1:H13,"ChiTieu",W1:W2)</f>
        <v>4170</v>
      </c>
    </row>
    <row r="12">
      <c r="A12" t="str">
        <v>P011</v>
      </c>
      <c r="B12" t="str">
        <v>B</v>
      </c>
      <c r="C12">
        <v>56</v>
      </c>
      <c r="D12">
        <v>2</v>
      </c>
      <c r="E12">
        <v>2260</v>
      </c>
      <c r="F12" t="str">
        <f>IF(C12&lt;25,"TRE",IF(C12&lt;45,"TRUNG NIEN","CAO TUOI"))</f>
        <v>CAO TUOI</v>
      </c>
      <c r="G12" t="str">
        <f>IF(D12&gt;=4,"CO","KHONG")</f>
        <v>KHONG</v>
      </c>
      <c r="H12">
        <f>ROUND(E12/SUM($E$2:$E$13),4)</f>
        <v>0.0709</v>
      </c>
      <c r="Y12" t="str">
        <v>So dong theo tieu chi W1:W2</v>
      </c>
      <c r="Z12">
        <f>DCOUNT(A1:H13,"ChiTieu",W1:W2)</f>
        <v>2</v>
      </c>
    </row>
    <row r="13">
      <c r="A13" t="str">
        <v>P012</v>
      </c>
      <c r="B13" t="str">
        <v>B</v>
      </c>
      <c r="C13">
        <v>20</v>
      </c>
      <c r="D13">
        <v>4</v>
      </c>
      <c r="E13">
        <v>1170</v>
      </c>
      <c r="F13" t="str">
        <f>IF(C13&lt;25,"TRE",IF(C13&lt;45,"TRUNG NIEN","CAO TUOI"))</f>
        <v>TRE</v>
      </c>
      <c r="G13" t="str">
        <f>IF(D13&gt;=4,"CO","KHONG")</f>
        <v>CO</v>
      </c>
      <c r="H13">
        <f>ROUND(E13/SUM($E$2:$E$13),4)</f>
        <v>0.0367</v>
      </c>
      <c r="Y13" t="str">
        <v>Tong ChiTieu khi Khu = A (SUMPRODUCT)</v>
      </c>
      <c r="Z13">
        <f>SUMPRODUCT((B2:B13="A")*E2:E13)</f>
        <v>4170</v>
      </c>
    </row>
    <row r="14">
      <c r="Y14" t="str">
        <v>Tong MucHL x ChiTieu</v>
      </c>
      <c r="Z14">
        <f>SUMPRODUCT(D2:D13,E2:E13)</f>
        <v>108220</v>
      </c>
    </row>
  </sheetData>
  <ignoredErrors>
    <ignoredError numberStoredAsText="1" sqref="A1:Z14"/>
  </ignoredErrors>
</worksheet>
</file>

<file path=xl/worksheets/sheet57.xml><?xml version="1.0" encoding="utf-8"?>
<worksheet xmlns="http://schemas.openxmlformats.org/spreadsheetml/2006/main" xmlns:r="http://schemas.openxmlformats.org/officeDocument/2006/relationships">
  <dimension ref="A1:E50"/>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t="str">
        <v>CAO TUOI</v>
      </c>
      <c r="C2">
        <f>'tin12'!F2</f>
      </c>
      <c r="D2">
        <f>IF(ISERROR(C2),LEFT(B2&amp;"",1)="#",IF(ISNUMBER(C2),AND(ISNUMBER(B2),ABS(C2-B2)&lt;=0.000001*MAX(1,ABS(B2))),EXACT(C2&amp;"",B2&amp;"")))</f>
      </c>
      <c r="E2">
        <f>ISERROR(C2)</f>
      </c>
    </row>
    <row r="3">
      <c r="A3" t="str">
        <v>F3</v>
      </c>
      <c r="B3" t="str">
        <v>TRE</v>
      </c>
      <c r="C3">
        <f>'tin12'!F3</f>
      </c>
      <c r="D3">
        <f>IF(ISERROR(C3),LEFT(B3&amp;"",1)="#",IF(ISNUMBER(C3),AND(ISNUMBER(B3),ABS(C3-B3)&lt;=0.000001*MAX(1,ABS(B3))),EXACT(C3&amp;"",B3&amp;"")))</f>
      </c>
      <c r="E3">
        <f>ISERROR(C3)</f>
      </c>
    </row>
    <row r="4">
      <c r="A4" t="str">
        <v>F4</v>
      </c>
      <c r="B4" t="str">
        <v>TRE</v>
      </c>
      <c r="C4">
        <f>'tin12'!F4</f>
      </c>
      <c r="D4">
        <f>IF(ISERROR(C4),LEFT(B4&amp;"",1)="#",IF(ISNUMBER(C4),AND(ISNUMBER(B4),ABS(C4-B4)&lt;=0.000001*MAX(1,ABS(B4))),EXACT(C4&amp;"",B4&amp;"")))</f>
      </c>
      <c r="E4">
        <f>ISERROR(C4)</f>
      </c>
    </row>
    <row r="5">
      <c r="A5" t="str">
        <v>F5</v>
      </c>
      <c r="B5" t="str">
        <v>CAO TUOI</v>
      </c>
      <c r="C5">
        <f>'tin12'!F5</f>
      </c>
      <c r="D5">
        <f>IF(ISERROR(C5),LEFT(B5&amp;"",1)="#",IF(ISNUMBER(C5),AND(ISNUMBER(B5),ABS(C5-B5)&lt;=0.000001*MAX(1,ABS(B5))),EXACT(C5&amp;"",B5&amp;"")))</f>
      </c>
      <c r="E5">
        <f>ISERROR(C5)</f>
      </c>
    </row>
    <row r="6">
      <c r="A6" t="str">
        <v>F6</v>
      </c>
      <c r="B6" t="str">
        <v>CAO TUOI</v>
      </c>
      <c r="C6">
        <f>'tin12'!F6</f>
      </c>
      <c r="D6">
        <f>IF(ISERROR(C6),LEFT(B6&amp;"",1)="#",IF(ISNUMBER(C6),AND(ISNUMBER(B6),ABS(C6-B6)&lt;=0.000001*MAX(1,ABS(B6))),EXACT(C6&amp;"",B6&amp;"")))</f>
      </c>
      <c r="E6">
        <f>ISERROR(C6)</f>
      </c>
    </row>
    <row r="7">
      <c r="A7" t="str">
        <v>F7</v>
      </c>
      <c r="B7" t="str">
        <v>CAO TUOI</v>
      </c>
      <c r="C7">
        <f>'tin12'!F7</f>
      </c>
      <c r="D7">
        <f>IF(ISERROR(C7),LEFT(B7&amp;"",1)="#",IF(ISNUMBER(C7),AND(ISNUMBER(B7),ABS(C7-B7)&lt;=0.000001*MAX(1,ABS(B7))),EXACT(C7&amp;"",B7&amp;"")))</f>
      </c>
      <c r="E7">
        <f>ISERROR(C7)</f>
      </c>
    </row>
    <row r="8">
      <c r="A8" t="str">
        <v>F8</v>
      </c>
      <c r="B8" t="str">
        <v>CAO TUOI</v>
      </c>
      <c r="C8">
        <f>'tin12'!F8</f>
      </c>
      <c r="D8">
        <f>IF(ISERROR(C8),LEFT(B8&amp;"",1)="#",IF(ISNUMBER(C8),AND(ISNUMBER(B8),ABS(C8-B8)&lt;=0.000001*MAX(1,ABS(B8))),EXACT(C8&amp;"",B8&amp;"")))</f>
      </c>
      <c r="E8">
        <f>ISERROR(C8)</f>
      </c>
    </row>
    <row r="9">
      <c r="A9" t="str">
        <v>F9</v>
      </c>
      <c r="B9" t="str">
        <v>TRUNG NIEN</v>
      </c>
      <c r="C9">
        <f>'tin12'!F9</f>
      </c>
      <c r="D9">
        <f>IF(ISERROR(C9),LEFT(B9&amp;"",1)="#",IF(ISNUMBER(C9),AND(ISNUMBER(B9),ABS(C9-B9)&lt;=0.000001*MAX(1,ABS(B9))),EXACT(C9&amp;"",B9&amp;"")))</f>
      </c>
      <c r="E9">
        <f>ISERROR(C9)</f>
      </c>
    </row>
    <row r="10">
      <c r="A10" t="str">
        <v>F10</v>
      </c>
      <c r="B10" t="str">
        <v>CAO TUOI</v>
      </c>
      <c r="C10">
        <f>'tin12'!F10</f>
      </c>
      <c r="D10">
        <f>IF(ISERROR(C10),LEFT(B10&amp;"",1)="#",IF(ISNUMBER(C10),AND(ISNUMBER(B10),ABS(C10-B10)&lt;=0.000001*MAX(1,ABS(B10))),EXACT(C10&amp;"",B10&amp;"")))</f>
      </c>
      <c r="E10">
        <f>ISERROR(C10)</f>
      </c>
    </row>
    <row r="11">
      <c r="A11" t="str">
        <v>F11</v>
      </c>
      <c r="B11" t="str">
        <v>CAO TUOI</v>
      </c>
      <c r="C11">
        <f>'tin12'!F11</f>
      </c>
      <c r="D11">
        <f>IF(ISERROR(C11),LEFT(B11&amp;"",1)="#",IF(ISNUMBER(C11),AND(ISNUMBER(B11),ABS(C11-B11)&lt;=0.000001*MAX(1,ABS(B11))),EXACT(C11&amp;"",B11&amp;"")))</f>
      </c>
      <c r="E11">
        <f>ISERROR(C11)</f>
      </c>
    </row>
    <row r="12">
      <c r="A12" t="str">
        <v>F12</v>
      </c>
      <c r="B12" t="str">
        <v>CAO TUOI</v>
      </c>
      <c r="C12">
        <f>'tin12'!F12</f>
      </c>
      <c r="D12">
        <f>IF(ISERROR(C12),LEFT(B12&amp;"",1)="#",IF(ISNUMBER(C12),AND(ISNUMBER(B12),ABS(C12-B12)&lt;=0.000001*MAX(1,ABS(B12))),EXACT(C12&amp;"",B12&amp;"")))</f>
      </c>
      <c r="E12">
        <f>ISERROR(C12)</f>
      </c>
    </row>
    <row r="13">
      <c r="A13" t="str">
        <v>F13</v>
      </c>
      <c r="B13" t="str">
        <v>TRE</v>
      </c>
      <c r="C13">
        <f>'tin12'!F13</f>
      </c>
      <c r="D13">
        <f>IF(ISERROR(C13),LEFT(B13&amp;"",1)="#",IF(ISNUMBER(C13),AND(ISNUMBER(B13),ABS(C13-B13)&lt;=0.000001*MAX(1,ABS(B13))),EXACT(C13&amp;"",B13&amp;"")))</f>
      </c>
      <c r="E13">
        <f>ISERROR(C13)</f>
      </c>
    </row>
    <row r="14">
      <c r="A14" t="str">
        <v>G2</v>
      </c>
      <c r="B14" t="str">
        <v>KHONG</v>
      </c>
      <c r="C14">
        <f>'tin12'!G2</f>
      </c>
      <c r="D14">
        <f>IF(ISERROR(C14),LEFT(B14&amp;"",1)="#",IF(ISNUMBER(C14),AND(ISNUMBER(B14),ABS(C14-B14)&lt;=0.000001*MAX(1,ABS(B14))),EXACT(C14&amp;"",B14&amp;"")))</f>
      </c>
      <c r="E14">
        <f>ISERROR(C14)</f>
      </c>
    </row>
    <row r="15">
      <c r="A15" t="str">
        <v>G3</v>
      </c>
      <c r="B15" t="str">
        <v>KHONG</v>
      </c>
      <c r="C15">
        <f>'tin12'!G3</f>
      </c>
      <c r="D15">
        <f>IF(ISERROR(C15),LEFT(B15&amp;"",1)="#",IF(ISNUMBER(C15),AND(ISNUMBER(B15),ABS(C15-B15)&lt;=0.000001*MAX(1,ABS(B15))),EXACT(C15&amp;"",B15&amp;"")))</f>
      </c>
      <c r="E15">
        <f>ISERROR(C15)</f>
      </c>
    </row>
    <row r="16">
      <c r="A16" t="str">
        <v>G4</v>
      </c>
      <c r="B16" t="str">
        <v>CO</v>
      </c>
      <c r="C16">
        <f>'tin12'!G4</f>
      </c>
      <c r="D16">
        <f>IF(ISERROR(C16),LEFT(B16&amp;"",1)="#",IF(ISNUMBER(C16),AND(ISNUMBER(B16),ABS(C16-B16)&lt;=0.000001*MAX(1,ABS(B16))),EXACT(C16&amp;"",B16&amp;"")))</f>
      </c>
      <c r="E16">
        <f>ISERROR(C16)</f>
      </c>
    </row>
    <row r="17">
      <c r="A17" t="str">
        <v>G5</v>
      </c>
      <c r="B17" t="str">
        <v>CO</v>
      </c>
      <c r="C17">
        <f>'tin12'!G5</f>
      </c>
      <c r="D17">
        <f>IF(ISERROR(C17),LEFT(B17&amp;"",1)="#",IF(ISNUMBER(C17),AND(ISNUMBER(B17),ABS(C17-B17)&lt;=0.000001*MAX(1,ABS(B17))),EXACT(C17&amp;"",B17&amp;"")))</f>
      </c>
      <c r="E17">
        <f>ISERROR(C17)</f>
      </c>
    </row>
    <row r="18">
      <c r="A18" t="str">
        <v>G6</v>
      </c>
      <c r="B18" t="str">
        <v>CO</v>
      </c>
      <c r="C18">
        <f>'tin12'!G6</f>
      </c>
      <c r="D18">
        <f>IF(ISERROR(C18),LEFT(B18&amp;"",1)="#",IF(ISNUMBER(C18),AND(ISNUMBER(B18),ABS(C18-B18)&lt;=0.000001*MAX(1,ABS(B18))),EXACT(C18&amp;"",B18&amp;"")))</f>
      </c>
      <c r="E18">
        <f>ISERROR(C18)</f>
      </c>
    </row>
    <row r="19">
      <c r="A19" t="str">
        <v>G7</v>
      </c>
      <c r="B19" t="str">
        <v>CO</v>
      </c>
      <c r="C19">
        <f>'tin12'!G7</f>
      </c>
      <c r="D19">
        <f>IF(ISERROR(C19),LEFT(B19&amp;"",1)="#",IF(ISNUMBER(C19),AND(ISNUMBER(B19),ABS(C19-B19)&lt;=0.000001*MAX(1,ABS(B19))),EXACT(C19&amp;"",B19&amp;"")))</f>
      </c>
      <c r="E19">
        <f>ISERROR(C19)</f>
      </c>
    </row>
    <row r="20">
      <c r="A20" t="str">
        <v>G8</v>
      </c>
      <c r="B20" t="str">
        <v>KHONG</v>
      </c>
      <c r="C20">
        <f>'tin12'!G8</f>
      </c>
      <c r="D20">
        <f>IF(ISERROR(C20),LEFT(B20&amp;"",1)="#",IF(ISNUMBER(C20),AND(ISNUMBER(B20),ABS(C20-B20)&lt;=0.000001*MAX(1,ABS(B20))),EXACT(C20&amp;"",B20&amp;"")))</f>
      </c>
      <c r="E20">
        <f>ISERROR(C20)</f>
      </c>
    </row>
    <row r="21">
      <c r="A21" t="str">
        <v>G9</v>
      </c>
      <c r="B21" t="str">
        <v>KHONG</v>
      </c>
      <c r="C21">
        <f>'tin12'!G9</f>
      </c>
      <c r="D21">
        <f>IF(ISERROR(C21),LEFT(B21&amp;"",1)="#",IF(ISNUMBER(C21),AND(ISNUMBER(B21),ABS(C21-B21)&lt;=0.000001*MAX(1,ABS(B21))),EXACT(C21&amp;"",B21&amp;"")))</f>
      </c>
      <c r="E21">
        <f>ISERROR(C21)</f>
      </c>
    </row>
    <row r="22">
      <c r="A22" t="str">
        <v>G10</v>
      </c>
      <c r="B22" t="str">
        <v>CO</v>
      </c>
      <c r="C22">
        <f>'tin12'!G10</f>
      </c>
      <c r="D22">
        <f>IF(ISERROR(C22),LEFT(B22&amp;"",1)="#",IF(ISNUMBER(C22),AND(ISNUMBER(B22),ABS(C22-B22)&lt;=0.000001*MAX(1,ABS(B22))),EXACT(C22&amp;"",B22&amp;"")))</f>
      </c>
      <c r="E22">
        <f>ISERROR(C22)</f>
      </c>
    </row>
    <row r="23">
      <c r="A23" t="str">
        <v>G11</v>
      </c>
      <c r="B23" t="str">
        <v>CO</v>
      </c>
      <c r="C23">
        <f>'tin12'!G11</f>
      </c>
      <c r="D23">
        <f>IF(ISERROR(C23),LEFT(B23&amp;"",1)="#",IF(ISNUMBER(C23),AND(ISNUMBER(B23),ABS(C23-B23)&lt;=0.000001*MAX(1,ABS(B23))),EXACT(C23&amp;"",B23&amp;"")))</f>
      </c>
      <c r="E23">
        <f>ISERROR(C23)</f>
      </c>
    </row>
    <row r="24">
      <c r="A24" t="str">
        <v>G12</v>
      </c>
      <c r="B24" t="str">
        <v>KHONG</v>
      </c>
      <c r="C24">
        <f>'tin12'!G12</f>
      </c>
      <c r="D24">
        <f>IF(ISERROR(C24),LEFT(B24&amp;"",1)="#",IF(ISNUMBER(C24),AND(ISNUMBER(B24),ABS(C24-B24)&lt;=0.000001*MAX(1,ABS(B24))),EXACT(C24&amp;"",B24&amp;"")))</f>
      </c>
      <c r="E24">
        <f>ISERROR(C24)</f>
      </c>
    </row>
    <row r="25">
      <c r="A25" t="str">
        <v>G13</v>
      </c>
      <c r="B25" t="str">
        <v>CO</v>
      </c>
      <c r="C25">
        <f>'tin12'!G13</f>
      </c>
      <c r="D25">
        <f>IF(ISERROR(C25),LEFT(B25&amp;"",1)="#",IF(ISNUMBER(C25),AND(ISNUMBER(B25),ABS(C25-B25)&lt;=0.000001*MAX(1,ABS(B25))),EXACT(C25&amp;"",B25&amp;"")))</f>
      </c>
      <c r="E25">
        <f>ISERROR(C25)</f>
      </c>
    </row>
    <row r="26">
      <c r="A26" t="str">
        <v>H2</v>
      </c>
      <c r="B26">
        <v>0.0835</v>
      </c>
      <c r="C26">
        <f>'tin12'!H2</f>
      </c>
      <c r="D26">
        <f>IF(ISERROR(C26),LEFT(B26&amp;"",1)="#",IF(ISNUMBER(C26),AND(ISNUMBER(B26),ABS(C26-B26)&lt;=0.000001*MAX(1,ABS(B26))),EXACT(C26&amp;"",B26&amp;"")))</f>
      </c>
      <c r="E26">
        <f>ISERROR(C26)</f>
      </c>
    </row>
    <row r="27">
      <c r="A27" t="str">
        <v>H3</v>
      </c>
      <c r="B27">
        <v>0.14</v>
      </c>
      <c r="C27">
        <f>'tin12'!H3</f>
      </c>
      <c r="D27">
        <f>IF(ISERROR(C27),LEFT(B27&amp;"",1)="#",IF(ISNUMBER(C27),AND(ISNUMBER(B27),ABS(C27-B27)&lt;=0.000001*MAX(1,ABS(B27))),EXACT(C27&amp;"",B27&amp;"")))</f>
      </c>
      <c r="E27">
        <f>ISERROR(C27)</f>
      </c>
    </row>
    <row r="28">
      <c r="A28" t="str">
        <v>H4</v>
      </c>
      <c r="B28">
        <v>0.0587</v>
      </c>
      <c r="C28">
        <f>'tin12'!H4</f>
      </c>
      <c r="D28">
        <f>IF(ISERROR(C28),LEFT(B28&amp;"",1)="#",IF(ISNUMBER(C28),AND(ISNUMBER(B28),ABS(C28-B28)&lt;=0.000001*MAX(1,ABS(B28))),EXACT(C28&amp;"",B28&amp;"")))</f>
      </c>
      <c r="E28">
        <f>ISERROR(C28)</f>
      </c>
    </row>
    <row r="29">
      <c r="A29" t="str">
        <v>H5</v>
      </c>
      <c r="B29">
        <v>0.0584</v>
      </c>
      <c r="C29">
        <f>'tin12'!H5</f>
      </c>
      <c r="D29">
        <f>IF(ISERROR(C29),LEFT(B29&amp;"",1)="#",IF(ISNUMBER(C29),AND(ISNUMBER(B29),ABS(C29-B29)&lt;=0.000001*MAX(1,ABS(B29))),EXACT(C29&amp;"",B29&amp;"")))</f>
      </c>
      <c r="E29">
        <f>ISERROR(C29)</f>
      </c>
    </row>
    <row r="30">
      <c r="A30" t="str">
        <v>H6</v>
      </c>
      <c r="B30">
        <v>0.1347</v>
      </c>
      <c r="C30">
        <f>'tin12'!H6</f>
      </c>
      <c r="D30">
        <f>IF(ISERROR(C30),LEFT(B30&amp;"",1)="#",IF(ISNUMBER(C30),AND(ISNUMBER(B30),ABS(C30-B30)&lt;=0.000001*MAX(1,ABS(B30))),EXACT(C30&amp;"",B30&amp;"")))</f>
      </c>
      <c r="E30">
        <f>ISERROR(C30)</f>
      </c>
    </row>
    <row r="31">
      <c r="A31" t="str">
        <v>H7</v>
      </c>
      <c r="B31">
        <v>0.0474</v>
      </c>
      <c r="C31">
        <f>'tin12'!H7</f>
      </c>
      <c r="D31">
        <f>IF(ISERROR(C31),LEFT(B31&amp;"",1)="#",IF(ISNUMBER(C31),AND(ISNUMBER(B31),ABS(C31-B31)&lt;=0.000001*MAX(1,ABS(B31))),EXACT(C31&amp;"",B31&amp;"")))</f>
      </c>
      <c r="E31">
        <f>ISERROR(C31)</f>
      </c>
    </row>
    <row r="32">
      <c r="A32" t="str">
        <v>H8</v>
      </c>
      <c r="B32">
        <v>0.0835</v>
      </c>
      <c r="C32">
        <f>'tin12'!H8</f>
      </c>
      <c r="D32">
        <f>IF(ISERROR(C32),LEFT(B32&amp;"",1)="#",IF(ISNUMBER(C32),AND(ISNUMBER(B32),ABS(C32-B32)&lt;=0.000001*MAX(1,ABS(B32))),EXACT(C32&amp;"",B32&amp;"")))</f>
      </c>
      <c r="E32">
        <f>ISERROR(C32)</f>
      </c>
    </row>
    <row r="33">
      <c r="A33" t="str">
        <v>H9</v>
      </c>
      <c r="B33">
        <v>0.0458</v>
      </c>
      <c r="C33">
        <f>'tin12'!H9</f>
      </c>
      <c r="D33">
        <f>IF(ISERROR(C33),LEFT(B33&amp;"",1)="#",IF(ISNUMBER(C33),AND(ISNUMBER(B33),ABS(C33-B33)&lt;=0.000001*MAX(1,ABS(B33))),EXACT(C33&amp;"",B33&amp;"")))</f>
      </c>
      <c r="E33">
        <f>ISERROR(C33)</f>
      </c>
    </row>
    <row r="34">
      <c r="A34" t="str">
        <v>H10</v>
      </c>
      <c r="B34">
        <v>0.1136</v>
      </c>
      <c r="C34">
        <f>'tin12'!H10</f>
      </c>
      <c r="D34">
        <f>IF(ISERROR(C34),LEFT(B34&amp;"",1)="#",IF(ISNUMBER(C34),AND(ISNUMBER(B34),ABS(C34-B34)&lt;=0.000001*MAX(1,ABS(B34))),EXACT(C34&amp;"",B34&amp;"")))</f>
      </c>
      <c r="E34">
        <f>ISERROR(C34)</f>
      </c>
    </row>
    <row r="35">
      <c r="A35" t="str">
        <v>H11</v>
      </c>
      <c r="B35">
        <v>0.1268</v>
      </c>
      <c r="C35">
        <f>'tin12'!H11</f>
      </c>
      <c r="D35">
        <f>IF(ISERROR(C35),LEFT(B35&amp;"",1)="#",IF(ISNUMBER(C35),AND(ISNUMBER(B35),ABS(C35-B35)&lt;=0.000001*MAX(1,ABS(B35))),EXACT(C35&amp;"",B35&amp;"")))</f>
      </c>
      <c r="E35">
        <f>ISERROR(C35)</f>
      </c>
    </row>
    <row r="36">
      <c r="A36" t="str">
        <v>H12</v>
      </c>
      <c r="B36">
        <v>0.0709</v>
      </c>
      <c r="C36">
        <f>'tin12'!H12</f>
      </c>
      <c r="D36">
        <f>IF(ISERROR(C36),LEFT(B36&amp;"",1)="#",IF(ISNUMBER(C36),AND(ISNUMBER(B36),ABS(C36-B36)&lt;=0.000001*MAX(1,ABS(B36))),EXACT(C36&amp;"",B36&amp;"")))</f>
      </c>
      <c r="E36">
        <f>ISERROR(C36)</f>
      </c>
    </row>
    <row r="37">
      <c r="A37" t="str">
        <v>H13</v>
      </c>
      <c r="B37">
        <v>0.0367</v>
      </c>
      <c r="C37">
        <f>'tin12'!H13</f>
      </c>
      <c r="D37">
        <f>IF(ISERROR(C37),LEFT(B37&amp;"",1)="#",IF(ISNUMBER(C37),AND(ISNUMBER(B37),ABS(C37-B37)&lt;=0.000001*MAX(1,ABS(B37))),EXACT(C37&amp;"",B37&amp;"")))</f>
      </c>
      <c r="E37">
        <f>ISERROR(C37)</f>
      </c>
    </row>
    <row r="38">
      <c r="A38" t="str">
        <v>Z2</v>
      </c>
      <c r="B38" t="str">
        <v>P002</v>
      </c>
      <c r="C38">
        <f>'tin12'!Z2</f>
      </c>
      <c r="D38">
        <f>IF(ISERROR(C38),LEFT(B38&amp;"",1)="#",IF(ISNUMBER(C38),AND(ISNUMBER(B38),ABS(C38-B38)&lt;=0.000001*MAX(1,ABS(B38))),EXACT(C38&amp;"",B38&amp;"")))</f>
      </c>
      <c r="E38">
        <f>ISERROR(C38)</f>
      </c>
    </row>
    <row r="39">
      <c r="A39" t="str">
        <v>Z3</v>
      </c>
      <c r="B39">
        <v>4170</v>
      </c>
      <c r="C39">
        <f>'tin12'!Z3</f>
      </c>
      <c r="D39">
        <f>IF(ISERROR(C39),LEFT(B39&amp;"",1)="#",IF(ISNUMBER(C39),AND(ISNUMBER(B39),ABS(C39-B39)&lt;=0.000001*MAX(1,ABS(B39))),EXACT(C39&amp;"",B39&amp;"")))</f>
      </c>
      <c r="E39">
        <f>ISERROR(C39)</f>
      </c>
    </row>
    <row r="40">
      <c r="A40" t="str">
        <v>Z4</v>
      </c>
      <c r="B40">
        <v>3</v>
      </c>
      <c r="C40">
        <f>'tin12'!Z4</f>
      </c>
      <c r="D40">
        <f>IF(ISERROR(C40),LEFT(B40&amp;"",1)="#",IF(ISNUMBER(C40),AND(ISNUMBER(B40),ABS(C40-B40)&lt;=0.000001*MAX(1,ABS(B40))),EXACT(C40&amp;"",B40&amp;"")))</f>
      </c>
      <c r="E40">
        <f>ISERROR(C40)</f>
      </c>
    </row>
    <row r="41">
      <c r="A41" t="str">
        <v>Z5</v>
      </c>
      <c r="B41">
        <v>1870</v>
      </c>
      <c r="C41">
        <f>'tin12'!Z5</f>
      </c>
      <c r="D41">
        <f>IF(ISERROR(C41),LEFT(B41&amp;"",1)="#",IF(ISNUMBER(C41),AND(ISNUMBER(B41),ABS(C41-B41)&lt;=0.000001*MAX(1,ABS(B41))),EXACT(C41&amp;"",B41&amp;"")))</f>
      </c>
      <c r="E41">
        <f>ISERROR(C41)</f>
      </c>
    </row>
    <row r="42">
      <c r="A42" t="str">
        <v>Z6</v>
      </c>
      <c r="B42">
        <v>58</v>
      </c>
      <c r="C42">
        <f>'tin12'!Z6</f>
      </c>
      <c r="D42">
        <f>IF(ISERROR(C42),LEFT(B42&amp;"",1)="#",IF(ISNUMBER(C42),AND(ISNUMBER(B42),ABS(C42-B42)&lt;=0.000001*MAX(1,ABS(B42))),EXACT(C42&amp;"",B42&amp;"")))</f>
      </c>
      <c r="E42">
        <f>ISERROR(C42)</f>
      </c>
    </row>
    <row r="43">
      <c r="A43" t="str">
        <v>Z7</v>
      </c>
      <c r="B43">
        <v>0</v>
      </c>
      <c r="C43">
        <f>'tin12'!Z7</f>
      </c>
      <c r="D43">
        <f>IF(ISERROR(C43),LEFT(B43&amp;"",1)="#",IF(ISNUMBER(C43),AND(ISNUMBER(B43),ABS(C43-B43)&lt;=0.000001*MAX(1,ABS(B43))),EXACT(C43&amp;"",B43&amp;"")))</f>
      </c>
      <c r="E43">
        <f>ISERROR(C43)</f>
      </c>
    </row>
    <row r="44">
      <c r="A44" t="str">
        <v>Z8</v>
      </c>
      <c r="B44">
        <v>2460</v>
      </c>
      <c r="C44">
        <f>'tin12'!Z8</f>
      </c>
      <c r="D44">
        <f>IF(ISERROR(C44),LEFT(B44&amp;"",1)="#",IF(ISNUMBER(C44),AND(ISNUMBER(B44),ABS(C44-B44)&lt;=0.000001*MAX(1,ABS(B44))),EXACT(C44&amp;"",B44&amp;"")))</f>
      </c>
      <c r="E44">
        <f>ISERROR(C44)</f>
      </c>
    </row>
    <row r="45">
      <c r="A45" t="str">
        <v>Z9</v>
      </c>
      <c r="B45">
        <v>4290</v>
      </c>
      <c r="C45">
        <f>'tin12'!Z9</f>
      </c>
      <c r="D45">
        <f>IF(ISERROR(C45),LEFT(B45&amp;"",1)="#",IF(ISNUMBER(C45),AND(ISNUMBER(B45),ABS(C45-B45)&lt;=0.000001*MAX(1,ABS(B45))),EXACT(C45&amp;"",B45&amp;"")))</f>
      </c>
      <c r="E45">
        <f>ISERROR(C45)</f>
      </c>
    </row>
    <row r="46">
      <c r="A46" t="str">
        <v>Z10</v>
      </c>
      <c r="B46">
        <v>15.51</v>
      </c>
      <c r="C46">
        <f>'tin12'!Z10</f>
      </c>
      <c r="D46">
        <f>IF(ISERROR(C46),LEFT(B46&amp;"",1)="#",IF(ISNUMBER(C46),AND(ISNUMBER(B46),ABS(C46-B46)&lt;=0.000001*MAX(1,ABS(B46))),EXACT(C46&amp;"",B46&amp;"")))</f>
      </c>
      <c r="E46">
        <f>ISERROR(C46)</f>
      </c>
    </row>
    <row r="47">
      <c r="A47" t="str">
        <v>Z11</v>
      </c>
      <c r="B47">
        <v>4170</v>
      </c>
      <c r="C47">
        <f>'tin12'!Z11</f>
      </c>
      <c r="D47">
        <f>IF(ISERROR(C47),LEFT(B47&amp;"",1)="#",IF(ISNUMBER(C47),AND(ISNUMBER(B47),ABS(C47-B47)&lt;=0.000001*MAX(1,ABS(B47))),EXACT(C47&amp;"",B47&amp;"")))</f>
      </c>
      <c r="E47">
        <f>ISERROR(C47)</f>
      </c>
    </row>
    <row r="48">
      <c r="A48" t="str">
        <v>Z12</v>
      </c>
      <c r="B48">
        <v>2</v>
      </c>
      <c r="C48">
        <f>'tin12'!Z12</f>
      </c>
      <c r="D48">
        <f>IF(ISERROR(C48),LEFT(B48&amp;"",1)="#",IF(ISNUMBER(C48),AND(ISNUMBER(B48),ABS(C48-B48)&lt;=0.000001*MAX(1,ABS(B48))),EXACT(C48&amp;"",B48&amp;"")))</f>
      </c>
      <c r="E48">
        <f>ISERROR(C48)</f>
      </c>
    </row>
    <row r="49">
      <c r="A49" t="str">
        <v>Z13</v>
      </c>
      <c r="B49">
        <v>4170</v>
      </c>
      <c r="C49">
        <f>'tin12'!Z13</f>
      </c>
      <c r="D49">
        <f>IF(ISERROR(C49),LEFT(B49&amp;"",1)="#",IF(ISNUMBER(C49),AND(ISNUMBER(B49),ABS(C49-B49)&lt;=0.000001*MAX(1,ABS(B49))),EXACT(C49&amp;"",B49&amp;"")))</f>
      </c>
      <c r="E49">
        <f>ISERROR(C49)</f>
      </c>
    </row>
    <row r="50">
      <c r="A50" t="str">
        <v>Z14</v>
      </c>
      <c r="B50">
        <v>108220</v>
      </c>
      <c r="C50">
        <f>'tin12'!Z14</f>
      </c>
      <c r="D50">
        <f>IF(ISERROR(C50),LEFT(B50&amp;"",1)="#",IF(ISNUMBER(C50),AND(ISNUMBER(B50),ABS(C50-B50)&lt;=0.000001*MAX(1,ABS(B50))),EXACT(C50&amp;"",B50&amp;"")))</f>
      </c>
      <c r="E50">
        <f>ISERROR(C50)</f>
      </c>
    </row>
  </sheetData>
  <ignoredErrors>
    <ignoredError numberStoredAsText="1" sqref="A1:E50"/>
  </ignoredErrors>
</worksheet>
</file>

<file path=xl/worksheets/sheet5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MaBai</v>
      </c>
      <c r="B1" t="str">
        <v>PA</v>
      </c>
      <c r="C1" t="str">
        <v>PBgA</v>
      </c>
      <c r="D1" t="str">
        <v>PBgNotA</v>
      </c>
      <c r="E1" t="str">
        <v>PAB</v>
      </c>
      <c r="F1" t="str">
        <v>PB</v>
      </c>
      <c r="G1" t="str">
        <v>PAgB</v>
      </c>
      <c r="H1" t="str">
        <v>DuDoan</v>
      </c>
      <c r="W1" t="str">
        <v>DuDoan</v>
      </c>
      <c r="Y1" t="str">
        <v>TongHop</v>
      </c>
      <c r="Z1" t="str">
        <v>KetQua</v>
      </c>
    </row>
    <row r="2">
      <c r="A2" t="str">
        <v>XS01</v>
      </c>
      <c r="B2">
        <v>0.5</v>
      </c>
      <c r="C2">
        <v>0.7</v>
      </c>
      <c r="D2">
        <v>0.2</v>
      </c>
      <c r="E2">
        <f>ROUND(B2*C2,4)</f>
        <v>0.35</v>
      </c>
      <c r="F2">
        <f>ROUND(B2*C2+(1-B2)*D2,4)</f>
        <v>0.45</v>
      </c>
      <c r="G2">
        <f>ROUND(B2*C2/(B2*C2+(1-B2)*D2),4)</f>
        <v>0.7778</v>
      </c>
      <c r="H2" t="str">
        <f>IF(G2&gt;=0.5,"A CO KHA NANG","A IT KHA NANG")</f>
        <v>A CO KHA NANG</v>
      </c>
      <c r="W2" t="str">
        <v>A CO KHA NANG</v>
      </c>
      <c r="Y2" t="str">
        <v>Ma MaBai co PAgB lon nhat</v>
      </c>
      <c r="Z2" t="str">
        <f>INDEX(A2:A13,MATCH(MAX(G2:G13),G2:G13,0))</f>
        <v>XS04</v>
      </c>
    </row>
    <row r="3">
      <c r="A3" t="str">
        <v>XS02</v>
      </c>
      <c r="B3">
        <v>0.2</v>
      </c>
      <c r="C3">
        <v>0.6</v>
      </c>
      <c r="D3">
        <v>0.3</v>
      </c>
      <c r="E3">
        <f>ROUND(B3*C3,4)</f>
        <v>0.12</v>
      </c>
      <c r="F3">
        <f>ROUND(B3*C3+(1-B3)*D3,4)</f>
        <v>0.36</v>
      </c>
      <c r="G3">
        <f>ROUND(B3*C3/(B3*C3+(1-B3)*D3),4)</f>
        <v>0.3333</v>
      </c>
      <c r="H3" t="str">
        <f>IF(G3&gt;=0.5,"A CO KHA NANG","A IT KHA NANG")</f>
        <v>A IT KHA NANG</v>
      </c>
      <c r="Y3" t="str">
        <v>Tong PB khi DuDoan = A CO KHA NANG</v>
      </c>
      <c r="Z3">
        <f>SUMIF(H2:H13,"A CO KHA NANG",F2:F13)</f>
        <v>5.03</v>
      </c>
    </row>
    <row r="4">
      <c r="A4" t="str">
        <v>XS03</v>
      </c>
      <c r="B4">
        <v>0.2</v>
      </c>
      <c r="C4">
        <v>0.9</v>
      </c>
      <c r="D4">
        <v>0.1</v>
      </c>
      <c r="E4">
        <f>ROUND(B4*C4,4)</f>
        <v>0.18</v>
      </c>
      <c r="F4">
        <f>ROUND(B4*C4+(1-B4)*D4,4)</f>
        <v>0.26</v>
      </c>
      <c r="G4">
        <f>ROUND(B4*C4/(B4*C4+(1-B4)*D4),4)</f>
        <v>0.6923</v>
      </c>
      <c r="H4" t="str">
        <f>IF(G4&gt;=0.5,"A CO KHA NANG","A IT KHA NANG")</f>
        <v>A CO KHA NANG</v>
      </c>
      <c r="Y4" t="str">
        <v>So dong DuDoan = A IT KHA NANG, PA &gt;=0.4</v>
      </c>
      <c r="Z4">
        <f>COUNTIFS(H2:H13,"A IT KHA NANG",B2:B13,"&gt;=0.4")</f>
        <v>0</v>
      </c>
    </row>
    <row r="5">
      <c r="A5" t="str">
        <v>XS04</v>
      </c>
      <c r="B5">
        <v>0.5</v>
      </c>
      <c r="C5">
        <v>0.8</v>
      </c>
      <c r="D5">
        <v>0.1</v>
      </c>
      <c r="E5">
        <f>ROUND(B5*C5,4)</f>
        <v>0.4</v>
      </c>
      <c r="F5">
        <f>ROUND(B5*C5+(1-B5)*D5,4)</f>
        <v>0.45</v>
      </c>
      <c r="G5">
        <f>ROUND(B5*C5/(B5*C5+(1-B5)*D5),4)</f>
        <v>0.8889</v>
      </c>
      <c r="H5" t="str">
        <f>IF(G5&gt;=0.5,"A CO KHA NANG","A IT KHA NANG")</f>
        <v>A CO KHA NANG</v>
      </c>
      <c r="Y5" t="str">
        <v>PAgB trung binh khi DuDoan = A CO KHA NANG</v>
      </c>
      <c r="Z5">
        <f>AVERAGEIF(H2:H13,"A CO KHA NANG",G2:G13)</f>
        <v>0.7392818181818182</v>
      </c>
    </row>
    <row r="6">
      <c r="A6" t="str">
        <v>XS05</v>
      </c>
      <c r="B6">
        <v>0.3</v>
      </c>
      <c r="C6">
        <v>0.9</v>
      </c>
      <c r="D6">
        <v>0.3</v>
      </c>
      <c r="E6">
        <f>ROUND(B6*C6,4)</f>
        <v>0.27</v>
      </c>
      <c r="F6">
        <f>ROUND(B6*C6+(1-B6)*D6,4)</f>
        <v>0.48</v>
      </c>
      <c r="G6">
        <f>ROUND(B6*C6/(B6*C6+(1-B6)*D6),4)</f>
        <v>0.5625</v>
      </c>
      <c r="H6" t="str">
        <f>IF(G6&gt;=0.5,"A CO KHA NANG","A IT KHA NANG")</f>
        <v>A CO KHA NANG</v>
      </c>
      <c r="Y6" t="str">
        <v>PB lon nhat khi DuDoan = A IT KHA NANG</v>
      </c>
      <c r="Z6">
        <f>_xlfn.MAXIFS(F2:F13,H2:H13,"A IT KHA NANG")</f>
        <v>0.36</v>
      </c>
    </row>
    <row r="7">
      <c r="A7" t="str">
        <v>XS06</v>
      </c>
      <c r="B7">
        <v>0.6</v>
      </c>
      <c r="C7">
        <v>0.6</v>
      </c>
      <c r="D7">
        <v>0.3</v>
      </c>
      <c r="E7">
        <f>ROUND(B7*C7,4)</f>
        <v>0.36</v>
      </c>
      <c r="F7">
        <f>ROUND(B7*C7+(1-B7)*D7,4)</f>
        <v>0.48</v>
      </c>
      <c r="G7">
        <f>ROUND(B7*C7/(B7*C7+(1-B7)*D7),4)</f>
        <v>0.75</v>
      </c>
      <c r="H7" t="str">
        <f>IF(G7&gt;=0.5,"A CO KHA NANG","A IT KHA NANG")</f>
        <v>A CO KHA NANG</v>
      </c>
      <c r="Y7" t="str">
        <v>PAgB trung vi</v>
      </c>
      <c r="Z7">
        <f>MEDIAN(G2:G13)</f>
        <v>0.7621</v>
      </c>
    </row>
    <row r="8">
      <c r="A8" t="str">
        <v>XS07</v>
      </c>
      <c r="B8">
        <v>0.6</v>
      </c>
      <c r="C8">
        <v>0.6</v>
      </c>
      <c r="D8">
        <v>0.3</v>
      </c>
      <c r="E8">
        <f>ROUND(B8*C8,4)</f>
        <v>0.36</v>
      </c>
      <c r="F8">
        <f>ROUND(B8*C8+(1-B8)*D8,4)</f>
        <v>0.48</v>
      </c>
      <c r="G8">
        <f>ROUND(B8*C8/(B8*C8+(1-B8)*D8),4)</f>
        <v>0.75</v>
      </c>
      <c r="H8" t="str">
        <f>IF(G8&gt;=0.5,"A CO KHA NANG","A IT KHA NANG")</f>
        <v>A CO KHA NANG</v>
      </c>
      <c r="Y8" t="str">
        <v>PAgB lon thu hai</v>
      </c>
      <c r="Z8">
        <f>LARGE(G2:G13,2)</f>
        <v>0.8182</v>
      </c>
    </row>
    <row r="9">
      <c r="A9" t="str">
        <v>XS08</v>
      </c>
      <c r="B9">
        <v>0.6</v>
      </c>
      <c r="C9">
        <v>0.6</v>
      </c>
      <c r="D9">
        <v>0.2</v>
      </c>
      <c r="E9">
        <f>ROUND(B9*C9,4)</f>
        <v>0.36</v>
      </c>
      <c r="F9">
        <f>ROUND(B9*C9+(1-B9)*D9,4)</f>
        <v>0.44</v>
      </c>
      <c r="G9">
        <f>ROUND(B9*C9/(B9*C9+(1-B9)*D9),4)</f>
        <v>0.8182</v>
      </c>
      <c r="H9" t="str">
        <f>IF(G9&gt;=0.5,"A CO KHA NANG","A IT KHA NANG")</f>
        <v>A CO KHA NANG</v>
      </c>
      <c r="Y9" t="str">
        <v>Do lech chuan PB</v>
      </c>
      <c r="Z9">
        <f>ROUND(STDEV(F2:F13),4)</f>
        <v>0.1104</v>
      </c>
    </row>
    <row r="10">
      <c r="A10" t="str">
        <v>XS09</v>
      </c>
      <c r="B10">
        <v>0.3</v>
      </c>
      <c r="C10">
        <v>0.8</v>
      </c>
      <c r="D10">
        <v>0.1</v>
      </c>
      <c r="E10">
        <f>ROUND(B10*C10,4)</f>
        <v>0.24</v>
      </c>
      <c r="F10">
        <f>ROUND(B10*C10+(1-B10)*D10,4)</f>
        <v>0.31</v>
      </c>
      <c r="G10">
        <f>ROUND(B10*C10/(B10*C10+(1-B10)*D10),4)</f>
        <v>0.7742</v>
      </c>
      <c r="H10" t="str">
        <f>IF(G10&gt;=0.5,"A CO KHA NANG","A IT KHA NANG")</f>
        <v>A CO KHA NANG</v>
      </c>
      <c r="Y10" t="str">
        <v>Tong PB theo tieu chi W1:W2</v>
      </c>
      <c r="Z10">
        <f>DSUM(A1:H13,"PB",W1:W2)</f>
        <v>5.03</v>
      </c>
    </row>
    <row r="11">
      <c r="A11" t="str">
        <v>XS10</v>
      </c>
      <c r="B11">
        <v>0.3</v>
      </c>
      <c r="C11">
        <v>0.7</v>
      </c>
      <c r="D11">
        <v>0.3</v>
      </c>
      <c r="E11">
        <f>ROUND(B11*C11,4)</f>
        <v>0.21</v>
      </c>
      <c r="F11">
        <f>ROUND(B11*C11+(1-B11)*D11,4)</f>
        <v>0.42</v>
      </c>
      <c r="G11">
        <f>ROUND(B11*C11/(B11*C11+(1-B11)*D11),4)</f>
        <v>0.5</v>
      </c>
      <c r="H11" t="str">
        <f>IF(G11&gt;=0.5,"A CO KHA NANG","A IT KHA NANG")</f>
        <v>A CO KHA NANG</v>
      </c>
      <c r="Y11" t="str">
        <v>So dong theo tieu chi W1:W2</v>
      </c>
      <c r="Z11">
        <f>DCOUNT(A1:H13,"PB",W1:W2)</f>
        <v>11</v>
      </c>
    </row>
    <row r="12">
      <c r="A12" t="str">
        <v>XS11</v>
      </c>
      <c r="B12">
        <v>0.6</v>
      </c>
      <c r="C12">
        <v>0.8</v>
      </c>
      <c r="D12">
        <v>0.3</v>
      </c>
      <c r="E12">
        <f>ROUND(B12*C12,4)</f>
        <v>0.48</v>
      </c>
      <c r="F12">
        <f>ROUND(B12*C12+(1-B12)*D12,4)</f>
        <v>0.6</v>
      </c>
      <c r="G12">
        <f>ROUND(B12*C12/(B12*C12+(1-B12)*D12),4)</f>
        <v>0.8</v>
      </c>
      <c r="H12" t="str">
        <f>IF(G12&gt;=0.5,"A CO KHA NANG","A IT KHA NANG")</f>
        <v>A CO KHA NANG</v>
      </c>
      <c r="Y12" t="str">
        <v>Tong PB khi DuDoan = A CO KHA NANG (SUMPRODUCT)</v>
      </c>
      <c r="Z12">
        <f>SUMPRODUCT((H2:H13="A CO KHA NANG")*F2:F13)</f>
        <v>5.03</v>
      </c>
    </row>
    <row r="13">
      <c r="A13" t="str">
        <v>XS12</v>
      </c>
      <c r="B13">
        <v>0.6</v>
      </c>
      <c r="C13">
        <v>0.9</v>
      </c>
      <c r="D13">
        <v>0.3</v>
      </c>
      <c r="E13">
        <f>ROUND(B13*C13,4)</f>
        <v>0.54</v>
      </c>
      <c r="F13">
        <f>ROUND(B13*C13+(1-B13)*D13,4)</f>
        <v>0.66</v>
      </c>
      <c r="G13">
        <f>ROUND(B13*C13/(B13*C13+(1-B13)*D13),4)</f>
        <v>0.8182</v>
      </c>
      <c r="H13" t="str">
        <f>IF(G13&gt;=0.5,"A CO KHA NANG","A IT KHA NANG")</f>
        <v>A CO KHA NANG</v>
      </c>
      <c r="Y13" t="str">
        <v>Tong PA x PBgA</v>
      </c>
      <c r="Z13">
        <f>SUMPRODUCT(B2:B13,C2:C13)</f>
        <v>3.8699999999999997</v>
      </c>
    </row>
  </sheetData>
  <ignoredErrors>
    <ignoredError numberStoredAsText="1" sqref="A1:Z13"/>
  </ignoredErrors>
</worksheet>
</file>

<file path=xl/worksheets/sheet59.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0.35</v>
      </c>
      <c r="C2">
        <f>'toan12xs'!E2</f>
      </c>
      <c r="D2">
        <f>IF(ISERROR(C2),LEFT(B2&amp;"",1)="#",IF(ISNUMBER(C2),AND(ISNUMBER(B2),ABS(C2-B2)&lt;=0.000001*MAX(1,ABS(B2))),EXACT(C2&amp;"",B2&amp;"")))</f>
      </c>
      <c r="E2">
        <f>ISERROR(C2)</f>
      </c>
    </row>
    <row r="3">
      <c r="A3" t="str">
        <v>E3</v>
      </c>
      <c r="B3">
        <v>0.12</v>
      </c>
      <c r="C3">
        <f>'toan12xs'!E3</f>
      </c>
      <c r="D3">
        <f>IF(ISERROR(C3),LEFT(B3&amp;"",1)="#",IF(ISNUMBER(C3),AND(ISNUMBER(B3),ABS(C3-B3)&lt;=0.000001*MAX(1,ABS(B3))),EXACT(C3&amp;"",B3&amp;"")))</f>
      </c>
      <c r="E3">
        <f>ISERROR(C3)</f>
      </c>
    </row>
    <row r="4">
      <c r="A4" t="str">
        <v>E4</v>
      </c>
      <c r="B4">
        <v>0.18</v>
      </c>
      <c r="C4">
        <f>'toan12xs'!E4</f>
      </c>
      <c r="D4">
        <f>IF(ISERROR(C4),LEFT(B4&amp;"",1)="#",IF(ISNUMBER(C4),AND(ISNUMBER(B4),ABS(C4-B4)&lt;=0.000001*MAX(1,ABS(B4))),EXACT(C4&amp;"",B4&amp;"")))</f>
      </c>
      <c r="E4">
        <f>ISERROR(C4)</f>
      </c>
    </row>
    <row r="5">
      <c r="A5" t="str">
        <v>E5</v>
      </c>
      <c r="B5">
        <v>0.4</v>
      </c>
      <c r="C5">
        <f>'toan12xs'!E5</f>
      </c>
      <c r="D5">
        <f>IF(ISERROR(C5),LEFT(B5&amp;"",1)="#",IF(ISNUMBER(C5),AND(ISNUMBER(B5),ABS(C5-B5)&lt;=0.000001*MAX(1,ABS(B5))),EXACT(C5&amp;"",B5&amp;"")))</f>
      </c>
      <c r="E5">
        <f>ISERROR(C5)</f>
      </c>
    </row>
    <row r="6">
      <c r="A6" t="str">
        <v>E6</v>
      </c>
      <c r="B6">
        <v>0.27</v>
      </c>
      <c r="C6">
        <f>'toan12xs'!E6</f>
      </c>
      <c r="D6">
        <f>IF(ISERROR(C6),LEFT(B6&amp;"",1)="#",IF(ISNUMBER(C6),AND(ISNUMBER(B6),ABS(C6-B6)&lt;=0.000001*MAX(1,ABS(B6))),EXACT(C6&amp;"",B6&amp;"")))</f>
      </c>
      <c r="E6">
        <f>ISERROR(C6)</f>
      </c>
    </row>
    <row r="7">
      <c r="A7" t="str">
        <v>E7</v>
      </c>
      <c r="B7">
        <v>0.36</v>
      </c>
      <c r="C7">
        <f>'toan12xs'!E7</f>
      </c>
      <c r="D7">
        <f>IF(ISERROR(C7),LEFT(B7&amp;"",1)="#",IF(ISNUMBER(C7),AND(ISNUMBER(B7),ABS(C7-B7)&lt;=0.000001*MAX(1,ABS(B7))),EXACT(C7&amp;"",B7&amp;"")))</f>
      </c>
      <c r="E7">
        <f>ISERROR(C7)</f>
      </c>
    </row>
    <row r="8">
      <c r="A8" t="str">
        <v>E8</v>
      </c>
      <c r="B8">
        <v>0.36</v>
      </c>
      <c r="C8">
        <f>'toan12xs'!E8</f>
      </c>
      <c r="D8">
        <f>IF(ISERROR(C8),LEFT(B8&amp;"",1)="#",IF(ISNUMBER(C8),AND(ISNUMBER(B8),ABS(C8-B8)&lt;=0.000001*MAX(1,ABS(B8))),EXACT(C8&amp;"",B8&amp;"")))</f>
      </c>
      <c r="E8">
        <f>ISERROR(C8)</f>
      </c>
    </row>
    <row r="9">
      <c r="A9" t="str">
        <v>E9</v>
      </c>
      <c r="B9">
        <v>0.36</v>
      </c>
      <c r="C9">
        <f>'toan12xs'!E9</f>
      </c>
      <c r="D9">
        <f>IF(ISERROR(C9),LEFT(B9&amp;"",1)="#",IF(ISNUMBER(C9),AND(ISNUMBER(B9),ABS(C9-B9)&lt;=0.000001*MAX(1,ABS(B9))),EXACT(C9&amp;"",B9&amp;"")))</f>
      </c>
      <c r="E9">
        <f>ISERROR(C9)</f>
      </c>
    </row>
    <row r="10">
      <c r="A10" t="str">
        <v>E10</v>
      </c>
      <c r="B10">
        <v>0.24</v>
      </c>
      <c r="C10">
        <f>'toan12xs'!E10</f>
      </c>
      <c r="D10">
        <f>IF(ISERROR(C10),LEFT(B10&amp;"",1)="#",IF(ISNUMBER(C10),AND(ISNUMBER(B10),ABS(C10-B10)&lt;=0.000001*MAX(1,ABS(B10))),EXACT(C10&amp;"",B10&amp;"")))</f>
      </c>
      <c r="E10">
        <f>ISERROR(C10)</f>
      </c>
    </row>
    <row r="11">
      <c r="A11" t="str">
        <v>E11</v>
      </c>
      <c r="B11">
        <v>0.21</v>
      </c>
      <c r="C11">
        <f>'toan12xs'!E11</f>
      </c>
      <c r="D11">
        <f>IF(ISERROR(C11),LEFT(B11&amp;"",1)="#",IF(ISNUMBER(C11),AND(ISNUMBER(B11),ABS(C11-B11)&lt;=0.000001*MAX(1,ABS(B11))),EXACT(C11&amp;"",B11&amp;"")))</f>
      </c>
      <c r="E11">
        <f>ISERROR(C11)</f>
      </c>
    </row>
    <row r="12">
      <c r="A12" t="str">
        <v>E12</v>
      </c>
      <c r="B12">
        <v>0.48</v>
      </c>
      <c r="C12">
        <f>'toan12xs'!E12</f>
      </c>
      <c r="D12">
        <f>IF(ISERROR(C12),LEFT(B12&amp;"",1)="#",IF(ISNUMBER(C12),AND(ISNUMBER(B12),ABS(C12-B12)&lt;=0.000001*MAX(1,ABS(B12))),EXACT(C12&amp;"",B12&amp;"")))</f>
      </c>
      <c r="E12">
        <f>ISERROR(C12)</f>
      </c>
    </row>
    <row r="13">
      <c r="A13" t="str">
        <v>E13</v>
      </c>
      <c r="B13">
        <v>0.54</v>
      </c>
      <c r="C13">
        <f>'toan12xs'!E13</f>
      </c>
      <c r="D13">
        <f>IF(ISERROR(C13),LEFT(B13&amp;"",1)="#",IF(ISNUMBER(C13),AND(ISNUMBER(B13),ABS(C13-B13)&lt;=0.000001*MAX(1,ABS(B13))),EXACT(C13&amp;"",B13&amp;"")))</f>
      </c>
      <c r="E13">
        <f>ISERROR(C13)</f>
      </c>
    </row>
    <row r="14">
      <c r="A14" t="str">
        <v>F2</v>
      </c>
      <c r="B14">
        <v>0.45</v>
      </c>
      <c r="C14">
        <f>'toan12xs'!F2</f>
      </c>
      <c r="D14">
        <f>IF(ISERROR(C14),LEFT(B14&amp;"",1)="#",IF(ISNUMBER(C14),AND(ISNUMBER(B14),ABS(C14-B14)&lt;=0.000001*MAX(1,ABS(B14))),EXACT(C14&amp;"",B14&amp;"")))</f>
      </c>
      <c r="E14">
        <f>ISERROR(C14)</f>
      </c>
    </row>
    <row r="15">
      <c r="A15" t="str">
        <v>F3</v>
      </c>
      <c r="B15">
        <v>0.36</v>
      </c>
      <c r="C15">
        <f>'toan12xs'!F3</f>
      </c>
      <c r="D15">
        <f>IF(ISERROR(C15),LEFT(B15&amp;"",1)="#",IF(ISNUMBER(C15),AND(ISNUMBER(B15),ABS(C15-B15)&lt;=0.000001*MAX(1,ABS(B15))),EXACT(C15&amp;"",B15&amp;"")))</f>
      </c>
      <c r="E15">
        <f>ISERROR(C15)</f>
      </c>
    </row>
    <row r="16">
      <c r="A16" t="str">
        <v>F4</v>
      </c>
      <c r="B16">
        <v>0.26</v>
      </c>
      <c r="C16">
        <f>'toan12xs'!F4</f>
      </c>
      <c r="D16">
        <f>IF(ISERROR(C16),LEFT(B16&amp;"",1)="#",IF(ISNUMBER(C16),AND(ISNUMBER(B16),ABS(C16-B16)&lt;=0.000001*MAX(1,ABS(B16))),EXACT(C16&amp;"",B16&amp;"")))</f>
      </c>
      <c r="E16">
        <f>ISERROR(C16)</f>
      </c>
    </row>
    <row r="17">
      <c r="A17" t="str">
        <v>F5</v>
      </c>
      <c r="B17">
        <v>0.45</v>
      </c>
      <c r="C17">
        <f>'toan12xs'!F5</f>
      </c>
      <c r="D17">
        <f>IF(ISERROR(C17),LEFT(B17&amp;"",1)="#",IF(ISNUMBER(C17),AND(ISNUMBER(B17),ABS(C17-B17)&lt;=0.000001*MAX(1,ABS(B17))),EXACT(C17&amp;"",B17&amp;"")))</f>
      </c>
      <c r="E17">
        <f>ISERROR(C17)</f>
      </c>
    </row>
    <row r="18">
      <c r="A18" t="str">
        <v>F6</v>
      </c>
      <c r="B18">
        <v>0.48</v>
      </c>
      <c r="C18">
        <f>'toan12xs'!F6</f>
      </c>
      <c r="D18">
        <f>IF(ISERROR(C18),LEFT(B18&amp;"",1)="#",IF(ISNUMBER(C18),AND(ISNUMBER(B18),ABS(C18-B18)&lt;=0.000001*MAX(1,ABS(B18))),EXACT(C18&amp;"",B18&amp;"")))</f>
      </c>
      <c r="E18">
        <f>ISERROR(C18)</f>
      </c>
    </row>
    <row r="19">
      <c r="A19" t="str">
        <v>F7</v>
      </c>
      <c r="B19">
        <v>0.48</v>
      </c>
      <c r="C19">
        <f>'toan12xs'!F7</f>
      </c>
      <c r="D19">
        <f>IF(ISERROR(C19),LEFT(B19&amp;"",1)="#",IF(ISNUMBER(C19),AND(ISNUMBER(B19),ABS(C19-B19)&lt;=0.000001*MAX(1,ABS(B19))),EXACT(C19&amp;"",B19&amp;"")))</f>
      </c>
      <c r="E19">
        <f>ISERROR(C19)</f>
      </c>
    </row>
    <row r="20">
      <c r="A20" t="str">
        <v>F8</v>
      </c>
      <c r="B20">
        <v>0.48</v>
      </c>
      <c r="C20">
        <f>'toan12xs'!F8</f>
      </c>
      <c r="D20">
        <f>IF(ISERROR(C20),LEFT(B20&amp;"",1)="#",IF(ISNUMBER(C20),AND(ISNUMBER(B20),ABS(C20-B20)&lt;=0.000001*MAX(1,ABS(B20))),EXACT(C20&amp;"",B20&amp;"")))</f>
      </c>
      <c r="E20">
        <f>ISERROR(C20)</f>
      </c>
    </row>
    <row r="21">
      <c r="A21" t="str">
        <v>F9</v>
      </c>
      <c r="B21">
        <v>0.44</v>
      </c>
      <c r="C21">
        <f>'toan12xs'!F9</f>
      </c>
      <c r="D21">
        <f>IF(ISERROR(C21),LEFT(B21&amp;"",1)="#",IF(ISNUMBER(C21),AND(ISNUMBER(B21),ABS(C21-B21)&lt;=0.000001*MAX(1,ABS(B21))),EXACT(C21&amp;"",B21&amp;"")))</f>
      </c>
      <c r="E21">
        <f>ISERROR(C21)</f>
      </c>
    </row>
    <row r="22">
      <c r="A22" t="str">
        <v>F10</v>
      </c>
      <c r="B22">
        <v>0.31</v>
      </c>
      <c r="C22">
        <f>'toan12xs'!F10</f>
      </c>
      <c r="D22">
        <f>IF(ISERROR(C22),LEFT(B22&amp;"",1)="#",IF(ISNUMBER(C22),AND(ISNUMBER(B22),ABS(C22-B22)&lt;=0.000001*MAX(1,ABS(B22))),EXACT(C22&amp;"",B22&amp;"")))</f>
      </c>
      <c r="E22">
        <f>ISERROR(C22)</f>
      </c>
    </row>
    <row r="23">
      <c r="A23" t="str">
        <v>F11</v>
      </c>
      <c r="B23">
        <v>0.42</v>
      </c>
      <c r="C23">
        <f>'toan12xs'!F11</f>
      </c>
      <c r="D23">
        <f>IF(ISERROR(C23),LEFT(B23&amp;"",1)="#",IF(ISNUMBER(C23),AND(ISNUMBER(B23),ABS(C23-B23)&lt;=0.000001*MAX(1,ABS(B23))),EXACT(C23&amp;"",B23&amp;"")))</f>
      </c>
      <c r="E23">
        <f>ISERROR(C23)</f>
      </c>
    </row>
    <row r="24">
      <c r="A24" t="str">
        <v>F12</v>
      </c>
      <c r="B24">
        <v>0.6</v>
      </c>
      <c r="C24">
        <f>'toan12xs'!F12</f>
      </c>
      <c r="D24">
        <f>IF(ISERROR(C24),LEFT(B24&amp;"",1)="#",IF(ISNUMBER(C24),AND(ISNUMBER(B24),ABS(C24-B24)&lt;=0.000001*MAX(1,ABS(B24))),EXACT(C24&amp;"",B24&amp;"")))</f>
      </c>
      <c r="E24">
        <f>ISERROR(C24)</f>
      </c>
    </row>
    <row r="25">
      <c r="A25" t="str">
        <v>F13</v>
      </c>
      <c r="B25">
        <v>0.66</v>
      </c>
      <c r="C25">
        <f>'toan12xs'!F13</f>
      </c>
      <c r="D25">
        <f>IF(ISERROR(C25),LEFT(B25&amp;"",1)="#",IF(ISNUMBER(C25),AND(ISNUMBER(B25),ABS(C25-B25)&lt;=0.000001*MAX(1,ABS(B25))),EXACT(C25&amp;"",B25&amp;"")))</f>
      </c>
      <c r="E25">
        <f>ISERROR(C25)</f>
      </c>
    </row>
    <row r="26">
      <c r="A26" t="str">
        <v>G2</v>
      </c>
      <c r="B26">
        <v>0.7778</v>
      </c>
      <c r="C26">
        <f>'toan12xs'!G2</f>
      </c>
      <c r="D26">
        <f>IF(ISERROR(C26),LEFT(B26&amp;"",1)="#",IF(ISNUMBER(C26),AND(ISNUMBER(B26),ABS(C26-B26)&lt;=0.000001*MAX(1,ABS(B26))),EXACT(C26&amp;"",B26&amp;"")))</f>
      </c>
      <c r="E26">
        <f>ISERROR(C26)</f>
      </c>
    </row>
    <row r="27">
      <c r="A27" t="str">
        <v>G3</v>
      </c>
      <c r="B27">
        <v>0.3333</v>
      </c>
      <c r="C27">
        <f>'toan12xs'!G3</f>
      </c>
      <c r="D27">
        <f>IF(ISERROR(C27),LEFT(B27&amp;"",1)="#",IF(ISNUMBER(C27),AND(ISNUMBER(B27),ABS(C27-B27)&lt;=0.000001*MAX(1,ABS(B27))),EXACT(C27&amp;"",B27&amp;"")))</f>
      </c>
      <c r="E27">
        <f>ISERROR(C27)</f>
      </c>
    </row>
    <row r="28">
      <c r="A28" t="str">
        <v>G4</v>
      </c>
      <c r="B28">
        <v>0.6923</v>
      </c>
      <c r="C28">
        <f>'toan12xs'!G4</f>
      </c>
      <c r="D28">
        <f>IF(ISERROR(C28),LEFT(B28&amp;"",1)="#",IF(ISNUMBER(C28),AND(ISNUMBER(B28),ABS(C28-B28)&lt;=0.000001*MAX(1,ABS(B28))),EXACT(C28&amp;"",B28&amp;"")))</f>
      </c>
      <c r="E28">
        <f>ISERROR(C28)</f>
      </c>
    </row>
    <row r="29">
      <c r="A29" t="str">
        <v>G5</v>
      </c>
      <c r="B29">
        <v>0.8889</v>
      </c>
      <c r="C29">
        <f>'toan12xs'!G5</f>
      </c>
      <c r="D29">
        <f>IF(ISERROR(C29),LEFT(B29&amp;"",1)="#",IF(ISNUMBER(C29),AND(ISNUMBER(B29),ABS(C29-B29)&lt;=0.000001*MAX(1,ABS(B29))),EXACT(C29&amp;"",B29&amp;"")))</f>
      </c>
      <c r="E29">
        <f>ISERROR(C29)</f>
      </c>
    </row>
    <row r="30">
      <c r="A30" t="str">
        <v>G6</v>
      </c>
      <c r="B30">
        <v>0.5625</v>
      </c>
      <c r="C30">
        <f>'toan12xs'!G6</f>
      </c>
      <c r="D30">
        <f>IF(ISERROR(C30),LEFT(B30&amp;"",1)="#",IF(ISNUMBER(C30),AND(ISNUMBER(B30),ABS(C30-B30)&lt;=0.000001*MAX(1,ABS(B30))),EXACT(C30&amp;"",B30&amp;"")))</f>
      </c>
      <c r="E30">
        <f>ISERROR(C30)</f>
      </c>
    </row>
    <row r="31">
      <c r="A31" t="str">
        <v>G7</v>
      </c>
      <c r="B31">
        <v>0.75</v>
      </c>
      <c r="C31">
        <f>'toan12xs'!G7</f>
      </c>
      <c r="D31">
        <f>IF(ISERROR(C31),LEFT(B31&amp;"",1)="#",IF(ISNUMBER(C31),AND(ISNUMBER(B31),ABS(C31-B31)&lt;=0.000001*MAX(1,ABS(B31))),EXACT(C31&amp;"",B31&amp;"")))</f>
      </c>
      <c r="E31">
        <f>ISERROR(C31)</f>
      </c>
    </row>
    <row r="32">
      <c r="A32" t="str">
        <v>G8</v>
      </c>
      <c r="B32">
        <v>0.75</v>
      </c>
      <c r="C32">
        <f>'toan12xs'!G8</f>
      </c>
      <c r="D32">
        <f>IF(ISERROR(C32),LEFT(B32&amp;"",1)="#",IF(ISNUMBER(C32),AND(ISNUMBER(B32),ABS(C32-B32)&lt;=0.000001*MAX(1,ABS(B32))),EXACT(C32&amp;"",B32&amp;"")))</f>
      </c>
      <c r="E32">
        <f>ISERROR(C32)</f>
      </c>
    </row>
    <row r="33">
      <c r="A33" t="str">
        <v>G9</v>
      </c>
      <c r="B33">
        <v>0.8182</v>
      </c>
      <c r="C33">
        <f>'toan12xs'!G9</f>
      </c>
      <c r="D33">
        <f>IF(ISERROR(C33),LEFT(B33&amp;"",1)="#",IF(ISNUMBER(C33),AND(ISNUMBER(B33),ABS(C33-B33)&lt;=0.000001*MAX(1,ABS(B33))),EXACT(C33&amp;"",B33&amp;"")))</f>
      </c>
      <c r="E33">
        <f>ISERROR(C33)</f>
      </c>
    </row>
    <row r="34">
      <c r="A34" t="str">
        <v>G10</v>
      </c>
      <c r="B34">
        <v>0.7742</v>
      </c>
      <c r="C34">
        <f>'toan12xs'!G10</f>
      </c>
      <c r="D34">
        <f>IF(ISERROR(C34),LEFT(B34&amp;"",1)="#",IF(ISNUMBER(C34),AND(ISNUMBER(B34),ABS(C34-B34)&lt;=0.000001*MAX(1,ABS(B34))),EXACT(C34&amp;"",B34&amp;"")))</f>
      </c>
      <c r="E34">
        <f>ISERROR(C34)</f>
      </c>
    </row>
    <row r="35">
      <c r="A35" t="str">
        <v>G11</v>
      </c>
      <c r="B35">
        <v>0.5</v>
      </c>
      <c r="C35">
        <f>'toan12xs'!G11</f>
      </c>
      <c r="D35">
        <f>IF(ISERROR(C35),LEFT(B35&amp;"",1)="#",IF(ISNUMBER(C35),AND(ISNUMBER(B35),ABS(C35-B35)&lt;=0.000001*MAX(1,ABS(B35))),EXACT(C35&amp;"",B35&amp;"")))</f>
      </c>
      <c r="E35">
        <f>ISERROR(C35)</f>
      </c>
    </row>
    <row r="36">
      <c r="A36" t="str">
        <v>G12</v>
      </c>
      <c r="B36">
        <v>0.8</v>
      </c>
      <c r="C36">
        <f>'toan12xs'!G12</f>
      </c>
      <c r="D36">
        <f>IF(ISERROR(C36),LEFT(B36&amp;"",1)="#",IF(ISNUMBER(C36),AND(ISNUMBER(B36),ABS(C36-B36)&lt;=0.000001*MAX(1,ABS(B36))),EXACT(C36&amp;"",B36&amp;"")))</f>
      </c>
      <c r="E36">
        <f>ISERROR(C36)</f>
      </c>
    </row>
    <row r="37">
      <c r="A37" t="str">
        <v>G13</v>
      </c>
      <c r="B37">
        <v>0.8182</v>
      </c>
      <c r="C37">
        <f>'toan12xs'!G13</f>
      </c>
      <c r="D37">
        <f>IF(ISERROR(C37),LEFT(B37&amp;"",1)="#",IF(ISNUMBER(C37),AND(ISNUMBER(B37),ABS(C37-B37)&lt;=0.000001*MAX(1,ABS(B37))),EXACT(C37&amp;"",B37&amp;"")))</f>
      </c>
      <c r="E37">
        <f>ISERROR(C37)</f>
      </c>
    </row>
    <row r="38">
      <c r="A38" t="str">
        <v>H2</v>
      </c>
      <c r="B38" t="str">
        <v>A CO KHA NANG</v>
      </c>
      <c r="C38">
        <f>'toan12xs'!H2</f>
      </c>
      <c r="D38">
        <f>IF(ISERROR(C38),LEFT(B38&amp;"",1)="#",IF(ISNUMBER(C38),AND(ISNUMBER(B38),ABS(C38-B38)&lt;=0.000001*MAX(1,ABS(B38))),EXACT(C38&amp;"",B38&amp;"")))</f>
      </c>
      <c r="E38">
        <f>ISERROR(C38)</f>
      </c>
    </row>
    <row r="39">
      <c r="A39" t="str">
        <v>H3</v>
      </c>
      <c r="B39" t="str">
        <v>A IT KHA NANG</v>
      </c>
      <c r="C39">
        <f>'toan12xs'!H3</f>
      </c>
      <c r="D39">
        <f>IF(ISERROR(C39),LEFT(B39&amp;"",1)="#",IF(ISNUMBER(C39),AND(ISNUMBER(B39),ABS(C39-B39)&lt;=0.000001*MAX(1,ABS(B39))),EXACT(C39&amp;"",B39&amp;"")))</f>
      </c>
      <c r="E39">
        <f>ISERROR(C39)</f>
      </c>
    </row>
    <row r="40">
      <c r="A40" t="str">
        <v>H4</v>
      </c>
      <c r="B40" t="str">
        <v>A CO KHA NANG</v>
      </c>
      <c r="C40">
        <f>'toan12xs'!H4</f>
      </c>
      <c r="D40">
        <f>IF(ISERROR(C40),LEFT(B40&amp;"",1)="#",IF(ISNUMBER(C40),AND(ISNUMBER(B40),ABS(C40-B40)&lt;=0.000001*MAX(1,ABS(B40))),EXACT(C40&amp;"",B40&amp;"")))</f>
      </c>
      <c r="E40">
        <f>ISERROR(C40)</f>
      </c>
    </row>
    <row r="41">
      <c r="A41" t="str">
        <v>H5</v>
      </c>
      <c r="B41" t="str">
        <v>A CO KHA NANG</v>
      </c>
      <c r="C41">
        <f>'toan12xs'!H5</f>
      </c>
      <c r="D41">
        <f>IF(ISERROR(C41),LEFT(B41&amp;"",1)="#",IF(ISNUMBER(C41),AND(ISNUMBER(B41),ABS(C41-B41)&lt;=0.000001*MAX(1,ABS(B41))),EXACT(C41&amp;"",B41&amp;"")))</f>
      </c>
      <c r="E41">
        <f>ISERROR(C41)</f>
      </c>
    </row>
    <row r="42">
      <c r="A42" t="str">
        <v>H6</v>
      </c>
      <c r="B42" t="str">
        <v>A CO KHA NANG</v>
      </c>
      <c r="C42">
        <f>'toan12xs'!H6</f>
      </c>
      <c r="D42">
        <f>IF(ISERROR(C42),LEFT(B42&amp;"",1)="#",IF(ISNUMBER(C42),AND(ISNUMBER(B42),ABS(C42-B42)&lt;=0.000001*MAX(1,ABS(B42))),EXACT(C42&amp;"",B42&amp;"")))</f>
      </c>
      <c r="E42">
        <f>ISERROR(C42)</f>
      </c>
    </row>
    <row r="43">
      <c r="A43" t="str">
        <v>H7</v>
      </c>
      <c r="B43" t="str">
        <v>A CO KHA NANG</v>
      </c>
      <c r="C43">
        <f>'toan12xs'!H7</f>
      </c>
      <c r="D43">
        <f>IF(ISERROR(C43),LEFT(B43&amp;"",1)="#",IF(ISNUMBER(C43),AND(ISNUMBER(B43),ABS(C43-B43)&lt;=0.000001*MAX(1,ABS(B43))),EXACT(C43&amp;"",B43&amp;"")))</f>
      </c>
      <c r="E43">
        <f>ISERROR(C43)</f>
      </c>
    </row>
    <row r="44">
      <c r="A44" t="str">
        <v>H8</v>
      </c>
      <c r="B44" t="str">
        <v>A CO KHA NANG</v>
      </c>
      <c r="C44">
        <f>'toan12xs'!H8</f>
      </c>
      <c r="D44">
        <f>IF(ISERROR(C44),LEFT(B44&amp;"",1)="#",IF(ISNUMBER(C44),AND(ISNUMBER(B44),ABS(C44-B44)&lt;=0.000001*MAX(1,ABS(B44))),EXACT(C44&amp;"",B44&amp;"")))</f>
      </c>
      <c r="E44">
        <f>ISERROR(C44)</f>
      </c>
    </row>
    <row r="45">
      <c r="A45" t="str">
        <v>H9</v>
      </c>
      <c r="B45" t="str">
        <v>A CO KHA NANG</v>
      </c>
      <c r="C45">
        <f>'toan12xs'!H9</f>
      </c>
      <c r="D45">
        <f>IF(ISERROR(C45),LEFT(B45&amp;"",1)="#",IF(ISNUMBER(C45),AND(ISNUMBER(B45),ABS(C45-B45)&lt;=0.000001*MAX(1,ABS(B45))),EXACT(C45&amp;"",B45&amp;"")))</f>
      </c>
      <c r="E45">
        <f>ISERROR(C45)</f>
      </c>
    </row>
    <row r="46">
      <c r="A46" t="str">
        <v>H10</v>
      </c>
      <c r="B46" t="str">
        <v>A CO KHA NANG</v>
      </c>
      <c r="C46">
        <f>'toan12xs'!H10</f>
      </c>
      <c r="D46">
        <f>IF(ISERROR(C46),LEFT(B46&amp;"",1)="#",IF(ISNUMBER(C46),AND(ISNUMBER(B46),ABS(C46-B46)&lt;=0.000001*MAX(1,ABS(B46))),EXACT(C46&amp;"",B46&amp;"")))</f>
      </c>
      <c r="E46">
        <f>ISERROR(C46)</f>
      </c>
    </row>
    <row r="47">
      <c r="A47" t="str">
        <v>H11</v>
      </c>
      <c r="B47" t="str">
        <v>A CO KHA NANG</v>
      </c>
      <c r="C47">
        <f>'toan12xs'!H11</f>
      </c>
      <c r="D47">
        <f>IF(ISERROR(C47),LEFT(B47&amp;"",1)="#",IF(ISNUMBER(C47),AND(ISNUMBER(B47),ABS(C47-B47)&lt;=0.000001*MAX(1,ABS(B47))),EXACT(C47&amp;"",B47&amp;"")))</f>
      </c>
      <c r="E47">
        <f>ISERROR(C47)</f>
      </c>
    </row>
    <row r="48">
      <c r="A48" t="str">
        <v>H12</v>
      </c>
      <c r="B48" t="str">
        <v>A CO KHA NANG</v>
      </c>
      <c r="C48">
        <f>'toan12xs'!H12</f>
      </c>
      <c r="D48">
        <f>IF(ISERROR(C48),LEFT(B48&amp;"",1)="#",IF(ISNUMBER(C48),AND(ISNUMBER(B48),ABS(C48-B48)&lt;=0.000001*MAX(1,ABS(B48))),EXACT(C48&amp;"",B48&amp;"")))</f>
      </c>
      <c r="E48">
        <f>ISERROR(C48)</f>
      </c>
    </row>
    <row r="49">
      <c r="A49" t="str">
        <v>H13</v>
      </c>
      <c r="B49" t="str">
        <v>A CO KHA NANG</v>
      </c>
      <c r="C49">
        <f>'toan12xs'!H13</f>
      </c>
      <c r="D49">
        <f>IF(ISERROR(C49),LEFT(B49&amp;"",1)="#",IF(ISNUMBER(C49),AND(ISNUMBER(B49),ABS(C49-B49)&lt;=0.000001*MAX(1,ABS(B49))),EXACT(C49&amp;"",B49&amp;"")))</f>
      </c>
      <c r="E49">
        <f>ISERROR(C49)</f>
      </c>
    </row>
    <row r="50">
      <c r="A50" t="str">
        <v>Z2</v>
      </c>
      <c r="B50" t="str">
        <v>XS04</v>
      </c>
      <c r="C50">
        <f>'toan12xs'!Z2</f>
      </c>
      <c r="D50">
        <f>IF(ISERROR(C50),LEFT(B50&amp;"",1)="#",IF(ISNUMBER(C50),AND(ISNUMBER(B50),ABS(C50-B50)&lt;=0.000001*MAX(1,ABS(B50))),EXACT(C50&amp;"",B50&amp;"")))</f>
      </c>
      <c r="E50">
        <f>ISERROR(C50)</f>
      </c>
    </row>
    <row r="51">
      <c r="A51" t="str">
        <v>Z3</v>
      </c>
      <c r="B51">
        <v>5.03</v>
      </c>
      <c r="C51">
        <f>'toan12xs'!Z3</f>
      </c>
      <c r="D51">
        <f>IF(ISERROR(C51),LEFT(B51&amp;"",1)="#",IF(ISNUMBER(C51),AND(ISNUMBER(B51),ABS(C51-B51)&lt;=0.000001*MAX(1,ABS(B51))),EXACT(C51&amp;"",B51&amp;"")))</f>
      </c>
      <c r="E51">
        <f>ISERROR(C51)</f>
      </c>
    </row>
    <row r="52">
      <c r="A52" t="str">
        <v>Z4</v>
      </c>
      <c r="B52">
        <v>0</v>
      </c>
      <c r="C52">
        <f>'toan12xs'!Z4</f>
      </c>
      <c r="D52">
        <f>IF(ISERROR(C52),LEFT(B52&amp;"",1)="#",IF(ISNUMBER(C52),AND(ISNUMBER(B52),ABS(C52-B52)&lt;=0.000001*MAX(1,ABS(B52))),EXACT(C52&amp;"",B52&amp;"")))</f>
      </c>
      <c r="E52">
        <f>ISERROR(C52)</f>
      </c>
    </row>
    <row r="53">
      <c r="A53" t="str">
        <v>Z5</v>
      </c>
      <c r="B53">
        <v>0.7392818181818182</v>
      </c>
      <c r="C53">
        <f>'toan12xs'!Z5</f>
      </c>
      <c r="D53">
        <f>IF(ISERROR(C53),LEFT(B53&amp;"",1)="#",IF(ISNUMBER(C53),AND(ISNUMBER(B53),ABS(C53-B53)&lt;=0.000001*MAX(1,ABS(B53))),EXACT(C53&amp;"",B53&amp;"")))</f>
      </c>
      <c r="E53">
        <f>ISERROR(C53)</f>
      </c>
    </row>
    <row r="54">
      <c r="A54" t="str">
        <v>Z6</v>
      </c>
      <c r="B54">
        <v>0.36</v>
      </c>
      <c r="C54">
        <f>'toan12xs'!Z6</f>
      </c>
      <c r="D54">
        <f>IF(ISERROR(C54),LEFT(B54&amp;"",1)="#",IF(ISNUMBER(C54),AND(ISNUMBER(B54),ABS(C54-B54)&lt;=0.000001*MAX(1,ABS(B54))),EXACT(C54&amp;"",B54&amp;"")))</f>
      </c>
      <c r="E54">
        <f>ISERROR(C54)</f>
      </c>
    </row>
    <row r="55">
      <c r="A55" t="str">
        <v>Z7</v>
      </c>
      <c r="B55">
        <v>0.7621</v>
      </c>
      <c r="C55">
        <f>'toan12xs'!Z7</f>
      </c>
      <c r="D55">
        <f>IF(ISERROR(C55),LEFT(B55&amp;"",1)="#",IF(ISNUMBER(C55),AND(ISNUMBER(B55),ABS(C55-B55)&lt;=0.000001*MAX(1,ABS(B55))),EXACT(C55&amp;"",B55&amp;"")))</f>
      </c>
      <c r="E55">
        <f>ISERROR(C55)</f>
      </c>
    </row>
    <row r="56">
      <c r="A56" t="str">
        <v>Z8</v>
      </c>
      <c r="B56">
        <v>0.8182</v>
      </c>
      <c r="C56">
        <f>'toan12xs'!Z8</f>
      </c>
      <c r="D56">
        <f>IF(ISERROR(C56),LEFT(B56&amp;"",1)="#",IF(ISNUMBER(C56),AND(ISNUMBER(B56),ABS(C56-B56)&lt;=0.000001*MAX(1,ABS(B56))),EXACT(C56&amp;"",B56&amp;"")))</f>
      </c>
      <c r="E56">
        <f>ISERROR(C56)</f>
      </c>
    </row>
    <row r="57">
      <c r="A57" t="str">
        <v>Z9</v>
      </c>
      <c r="B57">
        <v>0.1104</v>
      </c>
      <c r="C57">
        <f>'toan12xs'!Z9</f>
      </c>
      <c r="D57">
        <f>IF(ISERROR(C57),LEFT(B57&amp;"",1)="#",IF(ISNUMBER(C57),AND(ISNUMBER(B57),ABS(C57-B57)&lt;=0.000001*MAX(1,ABS(B57))),EXACT(C57&amp;"",B57&amp;"")))</f>
      </c>
      <c r="E57">
        <f>ISERROR(C57)</f>
      </c>
    </row>
    <row r="58">
      <c r="A58" t="str">
        <v>Z10</v>
      </c>
      <c r="B58">
        <v>5.03</v>
      </c>
      <c r="C58">
        <f>'toan12xs'!Z10</f>
      </c>
      <c r="D58">
        <f>IF(ISERROR(C58),LEFT(B58&amp;"",1)="#",IF(ISNUMBER(C58),AND(ISNUMBER(B58),ABS(C58-B58)&lt;=0.000001*MAX(1,ABS(B58))),EXACT(C58&amp;"",B58&amp;"")))</f>
      </c>
      <c r="E58">
        <f>ISERROR(C58)</f>
      </c>
    </row>
    <row r="59">
      <c r="A59" t="str">
        <v>Z11</v>
      </c>
      <c r="B59">
        <v>11</v>
      </c>
      <c r="C59">
        <f>'toan12xs'!Z11</f>
      </c>
      <c r="D59">
        <f>IF(ISERROR(C59),LEFT(B59&amp;"",1)="#",IF(ISNUMBER(C59),AND(ISNUMBER(B59),ABS(C59-B59)&lt;=0.000001*MAX(1,ABS(B59))),EXACT(C59&amp;"",B59&amp;"")))</f>
      </c>
      <c r="E59">
        <f>ISERROR(C59)</f>
      </c>
    </row>
    <row r="60">
      <c r="A60" t="str">
        <v>Z12</v>
      </c>
      <c r="B60">
        <v>5.03</v>
      </c>
      <c r="C60">
        <f>'toan12xs'!Z12</f>
      </c>
      <c r="D60">
        <f>IF(ISERROR(C60),LEFT(B60&amp;"",1)="#",IF(ISNUMBER(C60),AND(ISNUMBER(B60),ABS(C60-B60)&lt;=0.000001*MAX(1,ABS(B60))),EXACT(C60&amp;"",B60&amp;"")))</f>
      </c>
      <c r="E60">
        <f>ISERROR(C60)</f>
      </c>
    </row>
    <row r="61">
      <c r="A61" t="str">
        <v>Z13</v>
      </c>
      <c r="B61">
        <v>3.8699999999999997</v>
      </c>
      <c r="C61">
        <f>'toan12xs'!Z13</f>
      </c>
      <c r="D61">
        <f>IF(ISERROR(C61),LEFT(B61&amp;"",1)="#",IF(ISNUMBER(C61),AND(ISNUMBER(B61),ABS(C61-B61)&lt;=0.000001*MAX(1,ABS(B61))),EXACT(C61&amp;"",B61&amp;"")))</f>
      </c>
      <c r="E61">
        <f>ISERROR(C61)</f>
      </c>
    </row>
  </sheetData>
  <ignoredErrors>
    <ignoredError numberStoredAsText="1" sqref="A1:E61"/>
  </ignoredErrors>
</worksheet>
</file>

<file path=xl/worksheets/sheet6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Nhom</v>
      </c>
      <c r="B1" t="str">
        <v>CanDuoi</v>
      </c>
      <c r="C1" t="str">
        <v>CanTren</v>
      </c>
      <c r="D1" t="str">
        <v>TanSo</v>
      </c>
      <c r="E1" t="str">
        <v>DaiDien</v>
      </c>
      <c r="F1" t="str">
        <v>TichLuy</v>
      </c>
      <c r="G1" t="str">
        <v>TichXF</v>
      </c>
      <c r="Y1" t="str">
        <v>TongHop</v>
      </c>
      <c r="Z1" t="str">
        <v>KetQua</v>
      </c>
    </row>
    <row r="2">
      <c r="A2" t="str">
        <v>10-20</v>
      </c>
      <c r="B2">
        <v>10</v>
      </c>
      <c r="C2">
        <v>20</v>
      </c>
      <c r="D2">
        <v>8</v>
      </c>
      <c r="E2">
        <f>(B2+C2)/2</f>
        <v>15</v>
      </c>
      <c r="F2">
        <f>SUM($D$2:D2)</f>
        <v>8</v>
      </c>
      <c r="G2">
        <f>E2*D2</f>
        <v>120</v>
      </c>
      <c r="Y2" t="str">
        <v>Tong tan so</v>
      </c>
      <c r="Z2">
        <f>SUM(D2:D13)</f>
        <v>97</v>
      </c>
    </row>
    <row r="3">
      <c r="A3" t="str">
        <v>20-30</v>
      </c>
      <c r="B3">
        <v>20</v>
      </c>
      <c r="C3">
        <v>30</v>
      </c>
      <c r="D3">
        <v>2</v>
      </c>
      <c r="E3">
        <f>(B3+C3)/2</f>
        <v>25</v>
      </c>
      <c r="F3">
        <f>SUM($D$2:D3)</f>
        <v>10</v>
      </c>
      <c r="G3">
        <f>E3*D3</f>
        <v>50</v>
      </c>
      <c r="Y3" t="str">
        <v>Trung binh ghep nhom</v>
      </c>
      <c r="Z3">
        <f>ROUND(SUMPRODUCT(E2:E13,D2:D13)/SUM(D2:D13),2)</f>
        <v>75.52</v>
      </c>
    </row>
    <row r="4">
      <c r="A4" t="str">
        <v>30-40</v>
      </c>
      <c r="B4">
        <v>30</v>
      </c>
      <c r="C4">
        <v>40</v>
      </c>
      <c r="D4">
        <v>4</v>
      </c>
      <c r="E4">
        <f>(B4+C4)/2</f>
        <v>35</v>
      </c>
      <c r="F4">
        <f>SUM($D$2:D4)</f>
        <v>14</v>
      </c>
      <c r="G4">
        <f>E4*D4</f>
        <v>140</v>
      </c>
      <c r="Y4" t="str">
        <v>Phuong sai ghep nhom</v>
      </c>
      <c r="Z4">
        <f>ROUND(SUMPRODUCT(D2:D13*(E2:E13-SUMPRODUCT(E2:E13,D2:D13)/SUM(D2:D13))^2)/SUM(D2:D13),2)</f>
        <v>1110.04</v>
      </c>
    </row>
    <row r="5">
      <c r="A5" t="str">
        <v>40-50</v>
      </c>
      <c r="B5">
        <v>40</v>
      </c>
      <c r="C5">
        <v>50</v>
      </c>
      <c r="D5">
        <v>14</v>
      </c>
      <c r="E5">
        <f>(B5+C5)/2</f>
        <v>45</v>
      </c>
      <c r="F5">
        <f>SUM($D$2:D5)</f>
        <v>28</v>
      </c>
      <c r="G5">
        <f>E5*D5</f>
        <v>630</v>
      </c>
      <c r="Y5" t="str">
        <v>Do lech chuan ghep nhom</v>
      </c>
      <c r="Z5">
        <f>ROUND(SQRT(SUMPRODUCT(D2:D13*(E2:E13-SUMPRODUCT(E2:E13,D2:D13)/SUM(D2:D13))^2)/SUM(D2:D13)),2)</f>
        <v>33.32</v>
      </c>
    </row>
    <row r="6">
      <c r="A6" t="str">
        <v>50-60</v>
      </c>
      <c r="B6">
        <v>50</v>
      </c>
      <c r="C6">
        <v>60</v>
      </c>
      <c r="D6">
        <v>2</v>
      </c>
      <c r="E6">
        <f>(B6+C6)/2</f>
        <v>55</v>
      </c>
      <c r="F6">
        <f>SUM($D$2:D6)</f>
        <v>30</v>
      </c>
      <c r="G6">
        <f>E6*D6</f>
        <v>110</v>
      </c>
      <c r="Y6" t="str">
        <v>Nhom co tan so lon nhat</v>
      </c>
      <c r="Z6" t="str">
        <f>INDEX(A2:A13,MATCH(MAX(D2:D13),D2:D13,0))</f>
        <v>40-50</v>
      </c>
    </row>
    <row r="7">
      <c r="A7" t="str">
        <v>60-70</v>
      </c>
      <c r="B7">
        <v>60</v>
      </c>
      <c r="C7">
        <v>70</v>
      </c>
      <c r="D7">
        <v>14</v>
      </c>
      <c r="E7">
        <f>(B7+C7)/2</f>
        <v>65</v>
      </c>
      <c r="F7">
        <f>SUM($D$2:D7)</f>
        <v>44</v>
      </c>
      <c r="G7">
        <f>E7*D7</f>
        <v>910</v>
      </c>
      <c r="Y7" t="str">
        <v>Nhom co tan so tich luy cuoi</v>
      </c>
      <c r="Z7">
        <f>MAX(F2:F13)</f>
        <v>97</v>
      </c>
    </row>
    <row r="8">
      <c r="A8" t="str">
        <v>70-80</v>
      </c>
      <c r="B8">
        <v>70</v>
      </c>
      <c r="C8">
        <v>80</v>
      </c>
      <c r="D8">
        <v>6</v>
      </c>
      <c r="E8">
        <f>(B8+C8)/2</f>
        <v>75</v>
      </c>
      <c r="F8">
        <f>SUM($D$2:D8)</f>
        <v>50</v>
      </c>
      <c r="G8">
        <f>E8*D8</f>
        <v>450</v>
      </c>
      <c r="Y8" t="str">
        <v>Tan so lon thu hai</v>
      </c>
      <c r="Z8">
        <f>LARGE(D2:D13,2)</f>
        <v>14</v>
      </c>
    </row>
    <row r="9">
      <c r="A9" t="str">
        <v>80-90</v>
      </c>
      <c r="B9">
        <v>80</v>
      </c>
      <c r="C9">
        <v>90</v>
      </c>
      <c r="D9">
        <v>12</v>
      </c>
      <c r="E9">
        <f>(B9+C9)/2</f>
        <v>85</v>
      </c>
      <c r="F9">
        <f>SUM($D$2:D9)</f>
        <v>62</v>
      </c>
      <c r="G9">
        <f>E9*D9</f>
        <v>1020</v>
      </c>
    </row>
    <row r="10">
      <c r="A10" t="str">
        <v>90-100</v>
      </c>
      <c r="B10">
        <v>90</v>
      </c>
      <c r="C10">
        <v>100</v>
      </c>
      <c r="D10">
        <v>10</v>
      </c>
      <c r="E10">
        <f>(B10+C10)/2</f>
        <v>95</v>
      </c>
      <c r="F10">
        <f>SUM($D$2:D10)</f>
        <v>72</v>
      </c>
      <c r="G10">
        <f>E10*D10</f>
        <v>950</v>
      </c>
    </row>
    <row r="11">
      <c r="A11" t="str">
        <v>100-110</v>
      </c>
      <c r="B11">
        <v>100</v>
      </c>
      <c r="C11">
        <v>110</v>
      </c>
      <c r="D11">
        <v>6</v>
      </c>
      <c r="E11">
        <f>(B11+C11)/2</f>
        <v>105</v>
      </c>
      <c r="F11">
        <f>SUM($D$2:D11)</f>
        <v>78</v>
      </c>
      <c r="G11">
        <f>E11*D11</f>
        <v>630</v>
      </c>
    </row>
    <row r="12">
      <c r="A12" t="str">
        <v>110-120</v>
      </c>
      <c r="B12">
        <v>110</v>
      </c>
      <c r="C12">
        <v>120</v>
      </c>
      <c r="D12">
        <v>6</v>
      </c>
      <c r="E12">
        <f>(B12+C12)/2</f>
        <v>115</v>
      </c>
      <c r="F12">
        <f>SUM($D$2:D12)</f>
        <v>84</v>
      </c>
      <c r="G12">
        <f>E12*D12</f>
        <v>690</v>
      </c>
    </row>
    <row r="13">
      <c r="A13" t="str">
        <v>120-130</v>
      </c>
      <c r="B13">
        <v>120</v>
      </c>
      <c r="C13">
        <v>130</v>
      </c>
      <c r="D13">
        <v>13</v>
      </c>
      <c r="E13">
        <f>(B13+C13)/2</f>
        <v>125</v>
      </c>
      <c r="F13">
        <f>SUM($D$2:D13)</f>
        <v>97</v>
      </c>
      <c r="G13">
        <f>E13*D13</f>
        <v>1625</v>
      </c>
    </row>
  </sheetData>
  <ignoredErrors>
    <ignoredError numberStoredAsText="1" sqref="A1:Z13"/>
  </ignoredErrors>
</worksheet>
</file>

<file path=xl/worksheets/sheet61.xml><?xml version="1.0" encoding="utf-8"?>
<worksheet xmlns="http://schemas.openxmlformats.org/spreadsheetml/2006/main" xmlns:r="http://schemas.openxmlformats.org/officeDocument/2006/relationships">
  <dimension ref="A1:E4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15</v>
      </c>
      <c r="C2">
        <f>'toan12tk'!E2</f>
      </c>
      <c r="D2">
        <f>IF(ISERROR(C2),LEFT(B2&amp;"",1)="#",IF(ISNUMBER(C2),AND(ISNUMBER(B2),ABS(C2-B2)&lt;=0.000001*MAX(1,ABS(B2))),EXACT(C2&amp;"",B2&amp;"")))</f>
      </c>
      <c r="E2">
        <f>ISERROR(C2)</f>
      </c>
    </row>
    <row r="3">
      <c r="A3" t="str">
        <v>E3</v>
      </c>
      <c r="B3">
        <v>25</v>
      </c>
      <c r="C3">
        <f>'toan12tk'!E3</f>
      </c>
      <c r="D3">
        <f>IF(ISERROR(C3),LEFT(B3&amp;"",1)="#",IF(ISNUMBER(C3),AND(ISNUMBER(B3),ABS(C3-B3)&lt;=0.000001*MAX(1,ABS(B3))),EXACT(C3&amp;"",B3&amp;"")))</f>
      </c>
      <c r="E3">
        <f>ISERROR(C3)</f>
      </c>
    </row>
    <row r="4">
      <c r="A4" t="str">
        <v>E4</v>
      </c>
      <c r="B4">
        <v>35</v>
      </c>
      <c r="C4">
        <f>'toan12tk'!E4</f>
      </c>
      <c r="D4">
        <f>IF(ISERROR(C4),LEFT(B4&amp;"",1)="#",IF(ISNUMBER(C4),AND(ISNUMBER(B4),ABS(C4-B4)&lt;=0.000001*MAX(1,ABS(B4))),EXACT(C4&amp;"",B4&amp;"")))</f>
      </c>
      <c r="E4">
        <f>ISERROR(C4)</f>
      </c>
    </row>
    <row r="5">
      <c r="A5" t="str">
        <v>E5</v>
      </c>
      <c r="B5">
        <v>45</v>
      </c>
      <c r="C5">
        <f>'toan12tk'!E5</f>
      </c>
      <c r="D5">
        <f>IF(ISERROR(C5),LEFT(B5&amp;"",1)="#",IF(ISNUMBER(C5),AND(ISNUMBER(B5),ABS(C5-B5)&lt;=0.000001*MAX(1,ABS(B5))),EXACT(C5&amp;"",B5&amp;"")))</f>
      </c>
      <c r="E5">
        <f>ISERROR(C5)</f>
      </c>
    </row>
    <row r="6">
      <c r="A6" t="str">
        <v>E6</v>
      </c>
      <c r="B6">
        <v>55</v>
      </c>
      <c r="C6">
        <f>'toan12tk'!E6</f>
      </c>
      <c r="D6">
        <f>IF(ISERROR(C6),LEFT(B6&amp;"",1)="#",IF(ISNUMBER(C6),AND(ISNUMBER(B6),ABS(C6-B6)&lt;=0.000001*MAX(1,ABS(B6))),EXACT(C6&amp;"",B6&amp;"")))</f>
      </c>
      <c r="E6">
        <f>ISERROR(C6)</f>
      </c>
    </row>
    <row r="7">
      <c r="A7" t="str">
        <v>E7</v>
      </c>
      <c r="B7">
        <v>65</v>
      </c>
      <c r="C7">
        <f>'toan12tk'!E7</f>
      </c>
      <c r="D7">
        <f>IF(ISERROR(C7),LEFT(B7&amp;"",1)="#",IF(ISNUMBER(C7),AND(ISNUMBER(B7),ABS(C7-B7)&lt;=0.000001*MAX(1,ABS(B7))),EXACT(C7&amp;"",B7&amp;"")))</f>
      </c>
      <c r="E7">
        <f>ISERROR(C7)</f>
      </c>
    </row>
    <row r="8">
      <c r="A8" t="str">
        <v>E8</v>
      </c>
      <c r="B8">
        <v>75</v>
      </c>
      <c r="C8">
        <f>'toan12tk'!E8</f>
      </c>
      <c r="D8">
        <f>IF(ISERROR(C8),LEFT(B8&amp;"",1)="#",IF(ISNUMBER(C8),AND(ISNUMBER(B8),ABS(C8-B8)&lt;=0.000001*MAX(1,ABS(B8))),EXACT(C8&amp;"",B8&amp;"")))</f>
      </c>
      <c r="E8">
        <f>ISERROR(C8)</f>
      </c>
    </row>
    <row r="9">
      <c r="A9" t="str">
        <v>E9</v>
      </c>
      <c r="B9">
        <v>85</v>
      </c>
      <c r="C9">
        <f>'toan12tk'!E9</f>
      </c>
      <c r="D9">
        <f>IF(ISERROR(C9),LEFT(B9&amp;"",1)="#",IF(ISNUMBER(C9),AND(ISNUMBER(B9),ABS(C9-B9)&lt;=0.000001*MAX(1,ABS(B9))),EXACT(C9&amp;"",B9&amp;"")))</f>
      </c>
      <c r="E9">
        <f>ISERROR(C9)</f>
      </c>
    </row>
    <row r="10">
      <c r="A10" t="str">
        <v>E10</v>
      </c>
      <c r="B10">
        <v>95</v>
      </c>
      <c r="C10">
        <f>'toan12tk'!E10</f>
      </c>
      <c r="D10">
        <f>IF(ISERROR(C10),LEFT(B10&amp;"",1)="#",IF(ISNUMBER(C10),AND(ISNUMBER(B10),ABS(C10-B10)&lt;=0.000001*MAX(1,ABS(B10))),EXACT(C10&amp;"",B10&amp;"")))</f>
      </c>
      <c r="E10">
        <f>ISERROR(C10)</f>
      </c>
    </row>
    <row r="11">
      <c r="A11" t="str">
        <v>E11</v>
      </c>
      <c r="B11">
        <v>105</v>
      </c>
      <c r="C11">
        <f>'toan12tk'!E11</f>
      </c>
      <c r="D11">
        <f>IF(ISERROR(C11),LEFT(B11&amp;"",1)="#",IF(ISNUMBER(C11),AND(ISNUMBER(B11),ABS(C11-B11)&lt;=0.000001*MAX(1,ABS(B11))),EXACT(C11&amp;"",B11&amp;"")))</f>
      </c>
      <c r="E11">
        <f>ISERROR(C11)</f>
      </c>
    </row>
    <row r="12">
      <c r="A12" t="str">
        <v>E12</v>
      </c>
      <c r="B12">
        <v>115</v>
      </c>
      <c r="C12">
        <f>'toan12tk'!E12</f>
      </c>
      <c r="D12">
        <f>IF(ISERROR(C12),LEFT(B12&amp;"",1)="#",IF(ISNUMBER(C12),AND(ISNUMBER(B12),ABS(C12-B12)&lt;=0.000001*MAX(1,ABS(B12))),EXACT(C12&amp;"",B12&amp;"")))</f>
      </c>
      <c r="E12">
        <f>ISERROR(C12)</f>
      </c>
    </row>
    <row r="13">
      <c r="A13" t="str">
        <v>E13</v>
      </c>
      <c r="B13">
        <v>125</v>
      </c>
      <c r="C13">
        <f>'toan12tk'!E13</f>
      </c>
      <c r="D13">
        <f>IF(ISERROR(C13),LEFT(B13&amp;"",1)="#",IF(ISNUMBER(C13),AND(ISNUMBER(B13),ABS(C13-B13)&lt;=0.000001*MAX(1,ABS(B13))),EXACT(C13&amp;"",B13&amp;"")))</f>
      </c>
      <c r="E13">
        <f>ISERROR(C13)</f>
      </c>
    </row>
    <row r="14">
      <c r="A14" t="str">
        <v>F2</v>
      </c>
      <c r="B14">
        <v>8</v>
      </c>
      <c r="C14">
        <f>'toan12tk'!F2</f>
      </c>
      <c r="D14">
        <f>IF(ISERROR(C14),LEFT(B14&amp;"",1)="#",IF(ISNUMBER(C14),AND(ISNUMBER(B14),ABS(C14-B14)&lt;=0.000001*MAX(1,ABS(B14))),EXACT(C14&amp;"",B14&amp;"")))</f>
      </c>
      <c r="E14">
        <f>ISERROR(C14)</f>
      </c>
    </row>
    <row r="15">
      <c r="A15" t="str">
        <v>F3</v>
      </c>
      <c r="B15">
        <v>10</v>
      </c>
      <c r="C15">
        <f>'toan12tk'!F3</f>
      </c>
      <c r="D15">
        <f>IF(ISERROR(C15),LEFT(B15&amp;"",1)="#",IF(ISNUMBER(C15),AND(ISNUMBER(B15),ABS(C15-B15)&lt;=0.000001*MAX(1,ABS(B15))),EXACT(C15&amp;"",B15&amp;"")))</f>
      </c>
      <c r="E15">
        <f>ISERROR(C15)</f>
      </c>
    </row>
    <row r="16">
      <c r="A16" t="str">
        <v>F4</v>
      </c>
      <c r="B16">
        <v>14</v>
      </c>
      <c r="C16">
        <f>'toan12tk'!F4</f>
      </c>
      <c r="D16">
        <f>IF(ISERROR(C16),LEFT(B16&amp;"",1)="#",IF(ISNUMBER(C16),AND(ISNUMBER(B16),ABS(C16-B16)&lt;=0.000001*MAX(1,ABS(B16))),EXACT(C16&amp;"",B16&amp;"")))</f>
      </c>
      <c r="E16">
        <f>ISERROR(C16)</f>
      </c>
    </row>
    <row r="17">
      <c r="A17" t="str">
        <v>F5</v>
      </c>
      <c r="B17">
        <v>28</v>
      </c>
      <c r="C17">
        <f>'toan12tk'!F5</f>
      </c>
      <c r="D17">
        <f>IF(ISERROR(C17),LEFT(B17&amp;"",1)="#",IF(ISNUMBER(C17),AND(ISNUMBER(B17),ABS(C17-B17)&lt;=0.000001*MAX(1,ABS(B17))),EXACT(C17&amp;"",B17&amp;"")))</f>
      </c>
      <c r="E17">
        <f>ISERROR(C17)</f>
      </c>
    </row>
    <row r="18">
      <c r="A18" t="str">
        <v>F6</v>
      </c>
      <c r="B18">
        <v>30</v>
      </c>
      <c r="C18">
        <f>'toan12tk'!F6</f>
      </c>
      <c r="D18">
        <f>IF(ISERROR(C18),LEFT(B18&amp;"",1)="#",IF(ISNUMBER(C18),AND(ISNUMBER(B18),ABS(C18-B18)&lt;=0.000001*MAX(1,ABS(B18))),EXACT(C18&amp;"",B18&amp;"")))</f>
      </c>
      <c r="E18">
        <f>ISERROR(C18)</f>
      </c>
    </row>
    <row r="19">
      <c r="A19" t="str">
        <v>F7</v>
      </c>
      <c r="B19">
        <v>44</v>
      </c>
      <c r="C19">
        <f>'toan12tk'!F7</f>
      </c>
      <c r="D19">
        <f>IF(ISERROR(C19),LEFT(B19&amp;"",1)="#",IF(ISNUMBER(C19),AND(ISNUMBER(B19),ABS(C19-B19)&lt;=0.000001*MAX(1,ABS(B19))),EXACT(C19&amp;"",B19&amp;"")))</f>
      </c>
      <c r="E19">
        <f>ISERROR(C19)</f>
      </c>
    </row>
    <row r="20">
      <c r="A20" t="str">
        <v>F8</v>
      </c>
      <c r="B20">
        <v>50</v>
      </c>
      <c r="C20">
        <f>'toan12tk'!F8</f>
      </c>
      <c r="D20">
        <f>IF(ISERROR(C20),LEFT(B20&amp;"",1)="#",IF(ISNUMBER(C20),AND(ISNUMBER(B20),ABS(C20-B20)&lt;=0.000001*MAX(1,ABS(B20))),EXACT(C20&amp;"",B20&amp;"")))</f>
      </c>
      <c r="E20">
        <f>ISERROR(C20)</f>
      </c>
    </row>
    <row r="21">
      <c r="A21" t="str">
        <v>F9</v>
      </c>
      <c r="B21">
        <v>62</v>
      </c>
      <c r="C21">
        <f>'toan12tk'!F9</f>
      </c>
      <c r="D21">
        <f>IF(ISERROR(C21),LEFT(B21&amp;"",1)="#",IF(ISNUMBER(C21),AND(ISNUMBER(B21),ABS(C21-B21)&lt;=0.000001*MAX(1,ABS(B21))),EXACT(C21&amp;"",B21&amp;"")))</f>
      </c>
      <c r="E21">
        <f>ISERROR(C21)</f>
      </c>
    </row>
    <row r="22">
      <c r="A22" t="str">
        <v>F10</v>
      </c>
      <c r="B22">
        <v>72</v>
      </c>
      <c r="C22">
        <f>'toan12tk'!F10</f>
      </c>
      <c r="D22">
        <f>IF(ISERROR(C22),LEFT(B22&amp;"",1)="#",IF(ISNUMBER(C22),AND(ISNUMBER(B22),ABS(C22-B22)&lt;=0.000001*MAX(1,ABS(B22))),EXACT(C22&amp;"",B22&amp;"")))</f>
      </c>
      <c r="E22">
        <f>ISERROR(C22)</f>
      </c>
    </row>
    <row r="23">
      <c r="A23" t="str">
        <v>F11</v>
      </c>
      <c r="B23">
        <v>78</v>
      </c>
      <c r="C23">
        <f>'toan12tk'!F11</f>
      </c>
      <c r="D23">
        <f>IF(ISERROR(C23),LEFT(B23&amp;"",1)="#",IF(ISNUMBER(C23),AND(ISNUMBER(B23),ABS(C23-B23)&lt;=0.000001*MAX(1,ABS(B23))),EXACT(C23&amp;"",B23&amp;"")))</f>
      </c>
      <c r="E23">
        <f>ISERROR(C23)</f>
      </c>
    </row>
    <row r="24">
      <c r="A24" t="str">
        <v>F12</v>
      </c>
      <c r="B24">
        <v>84</v>
      </c>
      <c r="C24">
        <f>'toan12tk'!F12</f>
      </c>
      <c r="D24">
        <f>IF(ISERROR(C24),LEFT(B24&amp;"",1)="#",IF(ISNUMBER(C24),AND(ISNUMBER(B24),ABS(C24-B24)&lt;=0.000001*MAX(1,ABS(B24))),EXACT(C24&amp;"",B24&amp;"")))</f>
      </c>
      <c r="E24">
        <f>ISERROR(C24)</f>
      </c>
    </row>
    <row r="25">
      <c r="A25" t="str">
        <v>F13</v>
      </c>
      <c r="B25">
        <v>97</v>
      </c>
      <c r="C25">
        <f>'toan12tk'!F13</f>
      </c>
      <c r="D25">
        <f>IF(ISERROR(C25),LEFT(B25&amp;"",1)="#",IF(ISNUMBER(C25),AND(ISNUMBER(B25),ABS(C25-B25)&lt;=0.000001*MAX(1,ABS(B25))),EXACT(C25&amp;"",B25&amp;"")))</f>
      </c>
      <c r="E25">
        <f>ISERROR(C25)</f>
      </c>
    </row>
    <row r="26">
      <c r="A26" t="str">
        <v>G2</v>
      </c>
      <c r="B26">
        <v>120</v>
      </c>
      <c r="C26">
        <f>'toan12tk'!G2</f>
      </c>
      <c r="D26">
        <f>IF(ISERROR(C26),LEFT(B26&amp;"",1)="#",IF(ISNUMBER(C26),AND(ISNUMBER(B26),ABS(C26-B26)&lt;=0.000001*MAX(1,ABS(B26))),EXACT(C26&amp;"",B26&amp;"")))</f>
      </c>
      <c r="E26">
        <f>ISERROR(C26)</f>
      </c>
    </row>
    <row r="27">
      <c r="A27" t="str">
        <v>G3</v>
      </c>
      <c r="B27">
        <v>50</v>
      </c>
      <c r="C27">
        <f>'toan12tk'!G3</f>
      </c>
      <c r="D27">
        <f>IF(ISERROR(C27),LEFT(B27&amp;"",1)="#",IF(ISNUMBER(C27),AND(ISNUMBER(B27),ABS(C27-B27)&lt;=0.000001*MAX(1,ABS(B27))),EXACT(C27&amp;"",B27&amp;"")))</f>
      </c>
      <c r="E27">
        <f>ISERROR(C27)</f>
      </c>
    </row>
    <row r="28">
      <c r="A28" t="str">
        <v>G4</v>
      </c>
      <c r="B28">
        <v>140</v>
      </c>
      <c r="C28">
        <f>'toan12tk'!G4</f>
      </c>
      <c r="D28">
        <f>IF(ISERROR(C28),LEFT(B28&amp;"",1)="#",IF(ISNUMBER(C28),AND(ISNUMBER(B28),ABS(C28-B28)&lt;=0.000001*MAX(1,ABS(B28))),EXACT(C28&amp;"",B28&amp;"")))</f>
      </c>
      <c r="E28">
        <f>ISERROR(C28)</f>
      </c>
    </row>
    <row r="29">
      <c r="A29" t="str">
        <v>G5</v>
      </c>
      <c r="B29">
        <v>630</v>
      </c>
      <c r="C29">
        <f>'toan12tk'!G5</f>
      </c>
      <c r="D29">
        <f>IF(ISERROR(C29),LEFT(B29&amp;"",1)="#",IF(ISNUMBER(C29),AND(ISNUMBER(B29),ABS(C29-B29)&lt;=0.000001*MAX(1,ABS(B29))),EXACT(C29&amp;"",B29&amp;"")))</f>
      </c>
      <c r="E29">
        <f>ISERROR(C29)</f>
      </c>
    </row>
    <row r="30">
      <c r="A30" t="str">
        <v>G6</v>
      </c>
      <c r="B30">
        <v>110</v>
      </c>
      <c r="C30">
        <f>'toan12tk'!G6</f>
      </c>
      <c r="D30">
        <f>IF(ISERROR(C30),LEFT(B30&amp;"",1)="#",IF(ISNUMBER(C30),AND(ISNUMBER(B30),ABS(C30-B30)&lt;=0.000001*MAX(1,ABS(B30))),EXACT(C30&amp;"",B30&amp;"")))</f>
      </c>
      <c r="E30">
        <f>ISERROR(C30)</f>
      </c>
    </row>
    <row r="31">
      <c r="A31" t="str">
        <v>G7</v>
      </c>
      <c r="B31">
        <v>910</v>
      </c>
      <c r="C31">
        <f>'toan12tk'!G7</f>
      </c>
      <c r="D31">
        <f>IF(ISERROR(C31),LEFT(B31&amp;"",1)="#",IF(ISNUMBER(C31),AND(ISNUMBER(B31),ABS(C31-B31)&lt;=0.000001*MAX(1,ABS(B31))),EXACT(C31&amp;"",B31&amp;"")))</f>
      </c>
      <c r="E31">
        <f>ISERROR(C31)</f>
      </c>
    </row>
    <row r="32">
      <c r="A32" t="str">
        <v>G8</v>
      </c>
      <c r="B32">
        <v>450</v>
      </c>
      <c r="C32">
        <f>'toan12tk'!G8</f>
      </c>
      <c r="D32">
        <f>IF(ISERROR(C32),LEFT(B32&amp;"",1)="#",IF(ISNUMBER(C32),AND(ISNUMBER(B32),ABS(C32-B32)&lt;=0.000001*MAX(1,ABS(B32))),EXACT(C32&amp;"",B32&amp;"")))</f>
      </c>
      <c r="E32">
        <f>ISERROR(C32)</f>
      </c>
    </row>
    <row r="33">
      <c r="A33" t="str">
        <v>G9</v>
      </c>
      <c r="B33">
        <v>1020</v>
      </c>
      <c r="C33">
        <f>'toan12tk'!G9</f>
      </c>
      <c r="D33">
        <f>IF(ISERROR(C33),LEFT(B33&amp;"",1)="#",IF(ISNUMBER(C33),AND(ISNUMBER(B33),ABS(C33-B33)&lt;=0.000001*MAX(1,ABS(B33))),EXACT(C33&amp;"",B33&amp;"")))</f>
      </c>
      <c r="E33">
        <f>ISERROR(C33)</f>
      </c>
    </row>
    <row r="34">
      <c r="A34" t="str">
        <v>G10</v>
      </c>
      <c r="B34">
        <v>950</v>
      </c>
      <c r="C34">
        <f>'toan12tk'!G10</f>
      </c>
      <c r="D34">
        <f>IF(ISERROR(C34),LEFT(B34&amp;"",1)="#",IF(ISNUMBER(C34),AND(ISNUMBER(B34),ABS(C34-B34)&lt;=0.000001*MAX(1,ABS(B34))),EXACT(C34&amp;"",B34&amp;"")))</f>
      </c>
      <c r="E34">
        <f>ISERROR(C34)</f>
      </c>
    </row>
    <row r="35">
      <c r="A35" t="str">
        <v>G11</v>
      </c>
      <c r="B35">
        <v>630</v>
      </c>
      <c r="C35">
        <f>'toan12tk'!G11</f>
      </c>
      <c r="D35">
        <f>IF(ISERROR(C35),LEFT(B35&amp;"",1)="#",IF(ISNUMBER(C35),AND(ISNUMBER(B35),ABS(C35-B35)&lt;=0.000001*MAX(1,ABS(B35))),EXACT(C35&amp;"",B35&amp;"")))</f>
      </c>
      <c r="E35">
        <f>ISERROR(C35)</f>
      </c>
    </row>
    <row r="36">
      <c r="A36" t="str">
        <v>G12</v>
      </c>
      <c r="B36">
        <v>690</v>
      </c>
      <c r="C36">
        <f>'toan12tk'!G12</f>
      </c>
      <c r="D36">
        <f>IF(ISERROR(C36),LEFT(B36&amp;"",1)="#",IF(ISNUMBER(C36),AND(ISNUMBER(B36),ABS(C36-B36)&lt;=0.000001*MAX(1,ABS(B36))),EXACT(C36&amp;"",B36&amp;"")))</f>
      </c>
      <c r="E36">
        <f>ISERROR(C36)</f>
      </c>
    </row>
    <row r="37">
      <c r="A37" t="str">
        <v>G13</v>
      </c>
      <c r="B37">
        <v>1625</v>
      </c>
      <c r="C37">
        <f>'toan12tk'!G13</f>
      </c>
      <c r="D37">
        <f>IF(ISERROR(C37),LEFT(B37&amp;"",1)="#",IF(ISNUMBER(C37),AND(ISNUMBER(B37),ABS(C37-B37)&lt;=0.000001*MAX(1,ABS(B37))),EXACT(C37&amp;"",B37&amp;"")))</f>
      </c>
      <c r="E37">
        <f>ISERROR(C37)</f>
      </c>
    </row>
    <row r="38">
      <c r="A38" t="str">
        <v>Z2</v>
      </c>
      <c r="B38">
        <v>97</v>
      </c>
      <c r="C38">
        <f>'toan12tk'!Z2</f>
      </c>
      <c r="D38">
        <f>IF(ISERROR(C38),LEFT(B38&amp;"",1)="#",IF(ISNUMBER(C38),AND(ISNUMBER(B38),ABS(C38-B38)&lt;=0.000001*MAX(1,ABS(B38))),EXACT(C38&amp;"",B38&amp;"")))</f>
      </c>
      <c r="E38">
        <f>ISERROR(C38)</f>
      </c>
    </row>
    <row r="39">
      <c r="A39" t="str">
        <v>Z3</v>
      </c>
      <c r="B39">
        <v>75.52</v>
      </c>
      <c r="C39">
        <f>'toan12tk'!Z3</f>
      </c>
      <c r="D39">
        <f>IF(ISERROR(C39),LEFT(B39&amp;"",1)="#",IF(ISNUMBER(C39),AND(ISNUMBER(B39),ABS(C39-B39)&lt;=0.000001*MAX(1,ABS(B39))),EXACT(C39&amp;"",B39&amp;"")))</f>
      </c>
      <c r="E39">
        <f>ISERROR(C39)</f>
      </c>
    </row>
    <row r="40">
      <c r="A40" t="str">
        <v>Z4</v>
      </c>
      <c r="B40">
        <v>1110.04</v>
      </c>
      <c r="C40">
        <f>'toan12tk'!Z4</f>
      </c>
      <c r="D40">
        <f>IF(ISERROR(C40),LEFT(B40&amp;"",1)="#",IF(ISNUMBER(C40),AND(ISNUMBER(B40),ABS(C40-B40)&lt;=0.000001*MAX(1,ABS(B40))),EXACT(C40&amp;"",B40&amp;"")))</f>
      </c>
      <c r="E40">
        <f>ISERROR(C40)</f>
      </c>
    </row>
    <row r="41">
      <c r="A41" t="str">
        <v>Z5</v>
      </c>
      <c r="B41">
        <v>33.32</v>
      </c>
      <c r="C41">
        <f>'toan12tk'!Z5</f>
      </c>
      <c r="D41">
        <f>IF(ISERROR(C41),LEFT(B41&amp;"",1)="#",IF(ISNUMBER(C41),AND(ISNUMBER(B41),ABS(C41-B41)&lt;=0.000001*MAX(1,ABS(B41))),EXACT(C41&amp;"",B41&amp;"")))</f>
      </c>
      <c r="E41">
        <f>ISERROR(C41)</f>
      </c>
    </row>
    <row r="42">
      <c r="A42" t="str">
        <v>Z6</v>
      </c>
      <c r="B42" t="str">
        <v>40-50</v>
      </c>
      <c r="C42">
        <f>'toan12tk'!Z6</f>
      </c>
      <c r="D42">
        <f>IF(ISERROR(C42),LEFT(B42&amp;"",1)="#",IF(ISNUMBER(C42),AND(ISNUMBER(B42),ABS(C42-B42)&lt;=0.000001*MAX(1,ABS(B42))),EXACT(C42&amp;"",B42&amp;"")))</f>
      </c>
      <c r="E42">
        <f>ISERROR(C42)</f>
      </c>
    </row>
    <row r="43">
      <c r="A43" t="str">
        <v>Z7</v>
      </c>
      <c r="B43">
        <v>97</v>
      </c>
      <c r="C43">
        <f>'toan12tk'!Z7</f>
      </c>
      <c r="D43">
        <f>IF(ISERROR(C43),LEFT(B43&amp;"",1)="#",IF(ISNUMBER(C43),AND(ISNUMBER(B43),ABS(C43-B43)&lt;=0.000001*MAX(1,ABS(B43))),EXACT(C43&amp;"",B43&amp;"")))</f>
      </c>
      <c r="E43">
        <f>ISERROR(C43)</f>
      </c>
    </row>
    <row r="44">
      <c r="A44" t="str">
        <v>Z8</v>
      </c>
      <c r="B44">
        <v>14</v>
      </c>
      <c r="C44">
        <f>'toan12tk'!Z8</f>
      </c>
      <c r="D44">
        <f>IF(ISERROR(C44),LEFT(B44&amp;"",1)="#",IF(ISNUMBER(C44),AND(ISNUMBER(B44),ABS(C44-B44)&lt;=0.000001*MAX(1,ABS(B44))),EXACT(C44&amp;"",B44&amp;"")))</f>
      </c>
      <c r="E44">
        <f>ISERROR(C44)</f>
      </c>
    </row>
  </sheetData>
  <ignoredErrors>
    <ignoredError numberStoredAsText="1" sqref="A1:E44"/>
  </ignoredErrors>
</worksheet>
</file>

<file path=xl/worksheets/sheet6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MaTN</v>
      </c>
      <c r="B1" t="str">
        <v>Chat</v>
      </c>
      <c r="C1" t="str">
        <v>KhoiLuong</v>
      </c>
      <c r="D1" t="str">
        <v>t1</v>
      </c>
      <c r="E1" t="str">
        <v>t2</v>
      </c>
      <c r="F1" t="str">
        <v>nMol</v>
      </c>
      <c r="G1" t="str">
        <v>TK</v>
      </c>
      <c r="H1" t="str">
        <v>VLit</v>
      </c>
      <c r="I1" t="str">
        <v>c</v>
      </c>
      <c r="J1" t="str">
        <v>Q_kJ</v>
      </c>
      <c r="K1" t="str">
        <v>p_kPa</v>
      </c>
      <c r="L1" t="str">
        <v>TC</v>
      </c>
      <c r="M1" t="str">
        <v>AnToan</v>
      </c>
      <c r="R1" t="str">
        <v>Chat</v>
      </c>
      <c r="S1" t="str">
        <v>NhietDungRieng</v>
      </c>
      <c r="W1" t="str">
        <v>Chat</v>
      </c>
      <c r="Y1" t="str">
        <v>TongHop</v>
      </c>
      <c r="Z1" t="str">
        <v>KetQua</v>
      </c>
    </row>
    <row r="2">
      <c r="A2" t="str">
        <v>TN01</v>
      </c>
      <c r="B2" t="str">
        <v>NUOC</v>
      </c>
      <c r="C2">
        <v>2.5</v>
      </c>
      <c r="D2">
        <v>32</v>
      </c>
      <c r="E2">
        <v>66</v>
      </c>
      <c r="F2">
        <v>1</v>
      </c>
      <c r="G2">
        <v>302</v>
      </c>
      <c r="H2">
        <v>36</v>
      </c>
      <c r="I2">
        <f>VLOOKUP(B2,$R$2:$S$5,2,FALSE)</f>
        <v>4180</v>
      </c>
      <c r="J2">
        <f>ROUND(C2*I2*(E2-D2)/1000,2)</f>
        <v>355.3</v>
      </c>
      <c r="K2">
        <f>ROUND(F2*8.31*G2/H2,2)</f>
        <v>69.71</v>
      </c>
      <c r="L2">
        <f>G2-273</f>
        <v>29</v>
      </c>
      <c r="M2" t="str">
        <f>IF(K2&gt;500,"CAO AP","BINH THUONG")</f>
        <v>BINH THUONG</v>
      </c>
      <c r="R2" t="str">
        <v>NUOC</v>
      </c>
      <c r="S2">
        <v>4180</v>
      </c>
      <c r="W2" t="str">
        <v>NUOC</v>
      </c>
      <c r="Y2" t="str">
        <v>Ma MaTN co Q_kJ lon nhat</v>
      </c>
      <c r="Z2" t="str">
        <f>INDEX(A2:A13,MATCH(MAX(J2:J13),J2:J13,0))</f>
        <v>TN10</v>
      </c>
    </row>
    <row r="3">
      <c r="A3" t="str">
        <v>TN02</v>
      </c>
      <c r="B3" t="str">
        <v>NHOM</v>
      </c>
      <c r="C3">
        <v>4.5</v>
      </c>
      <c r="D3">
        <v>15</v>
      </c>
      <c r="E3">
        <v>40</v>
      </c>
      <c r="F3">
        <v>4</v>
      </c>
      <c r="G3">
        <v>357</v>
      </c>
      <c r="H3">
        <v>15</v>
      </c>
      <c r="I3">
        <f>VLOOKUP(B3,$R$2:$S$5,2,FALSE)</f>
        <v>880</v>
      </c>
      <c r="J3">
        <f>ROUND(C3*I3*(E3-D3)/1000,2)</f>
        <v>99</v>
      </c>
      <c r="K3">
        <f>ROUND(F3*8.31*G3/H3,2)</f>
        <v>791.11</v>
      </c>
      <c r="L3">
        <f>G3-273</f>
        <v>84</v>
      </c>
      <c r="M3" t="str">
        <f>IF(K3&gt;500,"CAO AP","BINH THUONG")</f>
        <v>CAO AP</v>
      </c>
      <c r="R3" t="str">
        <v>NHOM</v>
      </c>
      <c r="S3">
        <v>880</v>
      </c>
      <c r="Y3" t="str">
        <v>Tong Q_kJ khi Chat = NUOC</v>
      </c>
      <c r="Z3">
        <f>SUMIF(B2:B13,"NUOC",J2:J13)</f>
        <v>984.39</v>
      </c>
    </row>
    <row r="4">
      <c r="A4" t="str">
        <v>TN03</v>
      </c>
      <c r="B4" t="str">
        <v>DONG</v>
      </c>
      <c r="C4">
        <v>4.5</v>
      </c>
      <c r="D4">
        <v>24</v>
      </c>
      <c r="E4">
        <v>72</v>
      </c>
      <c r="F4">
        <v>5</v>
      </c>
      <c r="G4">
        <v>306</v>
      </c>
      <c r="H4">
        <v>33</v>
      </c>
      <c r="I4">
        <f>VLOOKUP(B4,$R$2:$S$5,2,FALSE)</f>
        <v>380</v>
      </c>
      <c r="J4">
        <f>ROUND(C4*I4*(E4-D4)/1000,2)</f>
        <v>82.08</v>
      </c>
      <c r="K4">
        <f>ROUND(F4*8.31*G4/H4,2)</f>
        <v>385.28</v>
      </c>
      <c r="L4">
        <f>G4-273</f>
        <v>33</v>
      </c>
      <c r="M4" t="str">
        <f>IF(K4&gt;500,"CAO AP","BINH THUONG")</f>
        <v>BINH THUONG</v>
      </c>
      <c r="R4" t="str">
        <v>DONG</v>
      </c>
      <c r="S4">
        <v>380</v>
      </c>
      <c r="Y4" t="str">
        <v>So dong Chat = NHOM, KhoiLuong &gt;=2</v>
      </c>
      <c r="Z4">
        <f>COUNTIFS(B2:B13,"NHOM",C2:C13,"&gt;=2")</f>
        <v>3</v>
      </c>
    </row>
    <row r="5">
      <c r="A5" t="str">
        <v>TN04</v>
      </c>
      <c r="B5" t="str">
        <v>SAT</v>
      </c>
      <c r="C5">
        <v>1.5</v>
      </c>
      <c r="D5">
        <v>37</v>
      </c>
      <c r="E5">
        <v>94</v>
      </c>
      <c r="F5">
        <v>5</v>
      </c>
      <c r="G5">
        <v>306</v>
      </c>
      <c r="H5">
        <v>22</v>
      </c>
      <c r="I5">
        <f>VLOOKUP(B5,$R$2:$S$5,2,FALSE)</f>
        <v>460</v>
      </c>
      <c r="J5">
        <f>ROUND(C5*I5*(E5-D5)/1000,2)</f>
        <v>39.33</v>
      </c>
      <c r="K5">
        <f>ROUND(F5*8.31*G5/H5,2)</f>
        <v>577.92</v>
      </c>
      <c r="L5">
        <f>G5-273</f>
        <v>33</v>
      </c>
      <c r="M5" t="str">
        <f>IF(K5&gt;500,"CAO AP","BINH THUONG")</f>
        <v>CAO AP</v>
      </c>
      <c r="R5" t="str">
        <v>SAT</v>
      </c>
      <c r="S5">
        <v>460</v>
      </c>
      <c r="Y5" t="str">
        <v>p_kPa trung binh khi Chat = DONG</v>
      </c>
      <c r="Z5">
        <f>AVERAGEIF(B2:B13,"DONG",K2:K13)</f>
        <v>312.615</v>
      </c>
    </row>
    <row r="6">
      <c r="A6" t="str">
        <v>TN05</v>
      </c>
      <c r="B6" t="str">
        <v>DONG</v>
      </c>
      <c r="C6">
        <v>1</v>
      </c>
      <c r="D6">
        <v>23</v>
      </c>
      <c r="E6">
        <v>43</v>
      </c>
      <c r="F6">
        <v>3</v>
      </c>
      <c r="G6">
        <v>385</v>
      </c>
      <c r="H6">
        <v>40</v>
      </c>
      <c r="I6">
        <f>VLOOKUP(B6,$R$2:$S$5,2,FALSE)</f>
        <v>380</v>
      </c>
      <c r="J6">
        <f>ROUND(C6*I6*(E6-D6)/1000,2)</f>
        <v>7.6</v>
      </c>
      <c r="K6">
        <f>ROUND(F6*8.31*G6/H6,2)</f>
        <v>239.95</v>
      </c>
      <c r="L6">
        <f>G6-273</f>
        <v>112</v>
      </c>
      <c r="M6" t="str">
        <f>IF(K6&gt;500,"CAO AP","BINH THUONG")</f>
        <v>BINH THUONG</v>
      </c>
      <c r="Y6" t="str">
        <v>Q_kJ lon nhat khi Chat = SAT</v>
      </c>
      <c r="Z6">
        <f>_xlfn.MAXIFS(J2:J13,B2:B13,"SAT")</f>
        <v>131.1</v>
      </c>
    </row>
    <row r="7">
      <c r="A7" t="str">
        <v>TN06</v>
      </c>
      <c r="B7" t="str">
        <v>SAT</v>
      </c>
      <c r="C7">
        <v>5</v>
      </c>
      <c r="D7">
        <v>33</v>
      </c>
      <c r="E7">
        <v>90</v>
      </c>
      <c r="F7">
        <v>4</v>
      </c>
      <c r="G7">
        <v>328</v>
      </c>
      <c r="H7">
        <v>37</v>
      </c>
      <c r="I7">
        <f>VLOOKUP(B7,$R$2:$S$5,2,FALSE)</f>
        <v>460</v>
      </c>
      <c r="J7">
        <f>ROUND(C7*I7*(E7-D7)/1000,2)</f>
        <v>131.1</v>
      </c>
      <c r="K7">
        <f>ROUND(F7*8.31*G7/H7,2)</f>
        <v>294.67</v>
      </c>
      <c r="L7">
        <f>G7-273</f>
        <v>55</v>
      </c>
      <c r="M7" t="str">
        <f>IF(K7&gt;500,"CAO AP","BINH THUONG")</f>
        <v>BINH THUONG</v>
      </c>
      <c r="Y7" t="str">
        <v>p_kPa trung vi</v>
      </c>
      <c r="Z7">
        <f>MEDIAN(K2:K13)</f>
        <v>361.15</v>
      </c>
    </row>
    <row r="8">
      <c r="A8" t="str">
        <v>TN07</v>
      </c>
      <c r="B8" t="str">
        <v>NHOM</v>
      </c>
      <c r="C8">
        <v>2</v>
      </c>
      <c r="D8">
        <v>20</v>
      </c>
      <c r="E8">
        <v>33</v>
      </c>
      <c r="F8">
        <v>4</v>
      </c>
      <c r="G8">
        <v>298</v>
      </c>
      <c r="H8">
        <v>34</v>
      </c>
      <c r="I8">
        <f>VLOOKUP(B8,$R$2:$S$5,2,FALSE)</f>
        <v>880</v>
      </c>
      <c r="J8">
        <f>ROUND(C8*I8*(E8-D8)/1000,2)</f>
        <v>22.88</v>
      </c>
      <c r="K8">
        <f>ROUND(F8*8.31*G8/H8,2)</f>
        <v>291.34</v>
      </c>
      <c r="L8">
        <f>G8-273</f>
        <v>25</v>
      </c>
      <c r="M8" t="str">
        <f>IF(K8&gt;500,"CAO AP","BINH THUONG")</f>
        <v>BINH THUONG</v>
      </c>
      <c r="Y8" t="str">
        <v>p_kPa lon thu hai</v>
      </c>
      <c r="Z8">
        <f>LARGE(K2:K13,2)</f>
        <v>1325.45</v>
      </c>
    </row>
    <row r="9">
      <c r="A9" t="str">
        <v>TN08</v>
      </c>
      <c r="B9" t="str">
        <v>NHOM</v>
      </c>
      <c r="C9">
        <v>2</v>
      </c>
      <c r="D9">
        <v>24</v>
      </c>
      <c r="E9">
        <v>40</v>
      </c>
      <c r="F9">
        <v>3</v>
      </c>
      <c r="G9">
        <v>365</v>
      </c>
      <c r="H9">
        <v>27</v>
      </c>
      <c r="I9">
        <f>VLOOKUP(B9,$R$2:$S$5,2,FALSE)</f>
        <v>880</v>
      </c>
      <c r="J9">
        <f>ROUND(C9*I9*(E9-D9)/1000,2)</f>
        <v>28.16</v>
      </c>
      <c r="K9">
        <f>ROUND(F9*8.31*G9/H9,2)</f>
        <v>337.02</v>
      </c>
      <c r="L9">
        <f>G9-273</f>
        <v>92</v>
      </c>
      <c r="M9" t="str">
        <f>IF(K9&gt;500,"CAO AP","BINH THUONG")</f>
        <v>BINH THUONG</v>
      </c>
      <c r="Y9" t="str">
        <v>Do lech chuan Q_kJ</v>
      </c>
      <c r="Z9">
        <f>ROUND(STDEV(J2:J13),2)</f>
        <v>129.35</v>
      </c>
    </row>
    <row r="10">
      <c r="A10" t="str">
        <v>TN09</v>
      </c>
      <c r="B10" t="str">
        <v>SAT</v>
      </c>
      <c r="C10">
        <v>2.5</v>
      </c>
      <c r="D10">
        <v>24</v>
      </c>
      <c r="E10">
        <v>65</v>
      </c>
      <c r="F10">
        <v>2</v>
      </c>
      <c r="G10">
        <v>280</v>
      </c>
      <c r="H10">
        <v>14</v>
      </c>
      <c r="I10">
        <f>VLOOKUP(B10,$R$2:$S$5,2,FALSE)</f>
        <v>460</v>
      </c>
      <c r="J10">
        <f>ROUND(C10*I10*(E10-D10)/1000,2)</f>
        <v>47.15</v>
      </c>
      <c r="K10">
        <f>ROUND(F10*8.31*G10/H10,2)</f>
        <v>332.4</v>
      </c>
      <c r="L10">
        <f>G10-273</f>
        <v>7</v>
      </c>
      <c r="M10" t="str">
        <f>IF(K10&gt;500,"CAO AP","BINH THUONG")</f>
        <v>BINH THUONG</v>
      </c>
      <c r="Y10" t="str">
        <v>Tong Q_kJ theo tieu chi W1:W2</v>
      </c>
      <c r="Z10">
        <f>DSUM(A1:M13,"Q_kJ",W1:W2)</f>
        <v>984.39</v>
      </c>
    </row>
    <row r="11">
      <c r="A11" t="str">
        <v>TN10</v>
      </c>
      <c r="B11" t="str">
        <v>NUOC</v>
      </c>
      <c r="C11">
        <v>2</v>
      </c>
      <c r="D11">
        <v>36</v>
      </c>
      <c r="E11">
        <v>82</v>
      </c>
      <c r="F11">
        <v>5</v>
      </c>
      <c r="G11">
        <v>385</v>
      </c>
      <c r="H11">
        <v>6</v>
      </c>
      <c r="I11">
        <f>VLOOKUP(B11,$R$2:$S$5,2,FALSE)</f>
        <v>4180</v>
      </c>
      <c r="J11">
        <f>ROUND(C11*I11*(E11-D11)/1000,2)</f>
        <v>384.56</v>
      </c>
      <c r="K11">
        <f>ROUND(F11*8.31*G11/H11,2)</f>
        <v>2666.13</v>
      </c>
      <c r="L11">
        <f>G11-273</f>
        <v>112</v>
      </c>
      <c r="M11" t="str">
        <f>IF(K11&gt;500,"CAO AP","BINH THUONG")</f>
        <v>CAO AP</v>
      </c>
      <c r="Y11" t="str">
        <v>So dong theo tieu chi W1:W2</v>
      </c>
      <c r="Z11">
        <f>DCOUNT(A1:M13,"Q_kJ",W1:W2)</f>
        <v>3</v>
      </c>
    </row>
    <row r="12">
      <c r="A12" t="str">
        <v>TN11</v>
      </c>
      <c r="B12" t="str">
        <v>NUOC</v>
      </c>
      <c r="C12">
        <v>4.5</v>
      </c>
      <c r="D12">
        <v>18</v>
      </c>
      <c r="E12">
        <v>31</v>
      </c>
      <c r="F12">
        <v>4</v>
      </c>
      <c r="G12">
        <v>319</v>
      </c>
      <c r="H12">
        <v>8</v>
      </c>
      <c r="I12">
        <f>VLOOKUP(B12,$R$2:$S$5,2,FALSE)</f>
        <v>4180</v>
      </c>
      <c r="J12">
        <f>ROUND(C12*I12*(E12-D12)/1000,2)</f>
        <v>244.53</v>
      </c>
      <c r="K12">
        <f>ROUND(F12*8.31*G12/H12,2)</f>
        <v>1325.45</v>
      </c>
      <c r="L12">
        <f>G12-273</f>
        <v>46</v>
      </c>
      <c r="M12" t="str">
        <f>IF(K12&gt;500,"CAO AP","BINH THUONG")</f>
        <v>CAO AP</v>
      </c>
      <c r="Y12" t="str">
        <v>Tong Q_kJ khi Chat = NUOC (SUMPRODUCT)</v>
      </c>
      <c r="Z12">
        <f>SUMPRODUCT((B2:B13="NUOC")*J2:J13)</f>
        <v>984.39</v>
      </c>
    </row>
    <row r="13">
      <c r="A13" t="str">
        <v>TN12</v>
      </c>
      <c r="B13" t="str">
        <v>SAT</v>
      </c>
      <c r="C13">
        <v>4.5</v>
      </c>
      <c r="D13">
        <v>32</v>
      </c>
      <c r="E13">
        <v>88</v>
      </c>
      <c r="F13">
        <v>5</v>
      </c>
      <c r="G13">
        <v>295</v>
      </c>
      <c r="H13">
        <v>16</v>
      </c>
      <c r="I13">
        <f>VLOOKUP(B13,$R$2:$S$5,2,FALSE)</f>
        <v>460</v>
      </c>
      <c r="J13">
        <f>ROUND(C13*I13*(E13-D13)/1000,2)</f>
        <v>115.92</v>
      </c>
      <c r="K13">
        <f>ROUND(F13*8.31*G13/H13,2)</f>
        <v>766.08</v>
      </c>
      <c r="L13">
        <f>G13-273</f>
        <v>22</v>
      </c>
      <c r="M13" t="str">
        <f>IF(K13&gt;500,"CAO AP","BINH THUONG")</f>
        <v>CAO AP</v>
      </c>
      <c r="Y13" t="str">
        <v>Tong KhoiLuong x nMol</v>
      </c>
      <c r="Z13">
        <f>SUMPRODUCT(C2:C13,F2:F13)</f>
        <v>143</v>
      </c>
    </row>
  </sheetData>
  <ignoredErrors>
    <ignoredError numberStoredAsText="1" sqref="A1:Z13"/>
  </ignoredErrors>
</worksheet>
</file>

<file path=xl/worksheets/sheet63.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I2</v>
      </c>
      <c r="B2">
        <v>4180</v>
      </c>
      <c r="C2">
        <f>'ly12'!I2</f>
      </c>
      <c r="D2">
        <f>IF(ISERROR(C2),LEFT(B2&amp;"",1)="#",IF(ISNUMBER(C2),AND(ISNUMBER(B2),ABS(C2-B2)&lt;=0.000001*MAX(1,ABS(B2))),EXACT(C2&amp;"",B2&amp;"")))</f>
      </c>
      <c r="E2">
        <f>ISERROR(C2)</f>
      </c>
    </row>
    <row r="3">
      <c r="A3" t="str">
        <v>I3</v>
      </c>
      <c r="B3">
        <v>880</v>
      </c>
      <c r="C3">
        <f>'ly12'!I3</f>
      </c>
      <c r="D3">
        <f>IF(ISERROR(C3),LEFT(B3&amp;"",1)="#",IF(ISNUMBER(C3),AND(ISNUMBER(B3),ABS(C3-B3)&lt;=0.000001*MAX(1,ABS(B3))),EXACT(C3&amp;"",B3&amp;"")))</f>
      </c>
      <c r="E3">
        <f>ISERROR(C3)</f>
      </c>
    </row>
    <row r="4">
      <c r="A4" t="str">
        <v>I4</v>
      </c>
      <c r="B4">
        <v>380</v>
      </c>
      <c r="C4">
        <f>'ly12'!I4</f>
      </c>
      <c r="D4">
        <f>IF(ISERROR(C4),LEFT(B4&amp;"",1)="#",IF(ISNUMBER(C4),AND(ISNUMBER(B4),ABS(C4-B4)&lt;=0.000001*MAX(1,ABS(B4))),EXACT(C4&amp;"",B4&amp;"")))</f>
      </c>
      <c r="E4">
        <f>ISERROR(C4)</f>
      </c>
    </row>
    <row r="5">
      <c r="A5" t="str">
        <v>I5</v>
      </c>
      <c r="B5">
        <v>460</v>
      </c>
      <c r="C5">
        <f>'ly12'!I5</f>
      </c>
      <c r="D5">
        <f>IF(ISERROR(C5),LEFT(B5&amp;"",1)="#",IF(ISNUMBER(C5),AND(ISNUMBER(B5),ABS(C5-B5)&lt;=0.000001*MAX(1,ABS(B5))),EXACT(C5&amp;"",B5&amp;"")))</f>
      </c>
      <c r="E5">
        <f>ISERROR(C5)</f>
      </c>
    </row>
    <row r="6">
      <c r="A6" t="str">
        <v>I6</v>
      </c>
      <c r="B6">
        <v>380</v>
      </c>
      <c r="C6">
        <f>'ly12'!I6</f>
      </c>
      <c r="D6">
        <f>IF(ISERROR(C6),LEFT(B6&amp;"",1)="#",IF(ISNUMBER(C6),AND(ISNUMBER(B6),ABS(C6-B6)&lt;=0.000001*MAX(1,ABS(B6))),EXACT(C6&amp;"",B6&amp;"")))</f>
      </c>
      <c r="E6">
        <f>ISERROR(C6)</f>
      </c>
    </row>
    <row r="7">
      <c r="A7" t="str">
        <v>I7</v>
      </c>
      <c r="B7">
        <v>460</v>
      </c>
      <c r="C7">
        <f>'ly12'!I7</f>
      </c>
      <c r="D7">
        <f>IF(ISERROR(C7),LEFT(B7&amp;"",1)="#",IF(ISNUMBER(C7),AND(ISNUMBER(B7),ABS(C7-B7)&lt;=0.000001*MAX(1,ABS(B7))),EXACT(C7&amp;"",B7&amp;"")))</f>
      </c>
      <c r="E7">
        <f>ISERROR(C7)</f>
      </c>
    </row>
    <row r="8">
      <c r="A8" t="str">
        <v>I8</v>
      </c>
      <c r="B8">
        <v>880</v>
      </c>
      <c r="C8">
        <f>'ly12'!I8</f>
      </c>
      <c r="D8">
        <f>IF(ISERROR(C8),LEFT(B8&amp;"",1)="#",IF(ISNUMBER(C8),AND(ISNUMBER(B8),ABS(C8-B8)&lt;=0.000001*MAX(1,ABS(B8))),EXACT(C8&amp;"",B8&amp;"")))</f>
      </c>
      <c r="E8">
        <f>ISERROR(C8)</f>
      </c>
    </row>
    <row r="9">
      <c r="A9" t="str">
        <v>I9</v>
      </c>
      <c r="B9">
        <v>880</v>
      </c>
      <c r="C9">
        <f>'ly12'!I9</f>
      </c>
      <c r="D9">
        <f>IF(ISERROR(C9),LEFT(B9&amp;"",1)="#",IF(ISNUMBER(C9),AND(ISNUMBER(B9),ABS(C9-B9)&lt;=0.000001*MAX(1,ABS(B9))),EXACT(C9&amp;"",B9&amp;"")))</f>
      </c>
      <c r="E9">
        <f>ISERROR(C9)</f>
      </c>
    </row>
    <row r="10">
      <c r="A10" t="str">
        <v>I10</v>
      </c>
      <c r="B10">
        <v>460</v>
      </c>
      <c r="C10">
        <f>'ly12'!I10</f>
      </c>
      <c r="D10">
        <f>IF(ISERROR(C10),LEFT(B10&amp;"",1)="#",IF(ISNUMBER(C10),AND(ISNUMBER(B10),ABS(C10-B10)&lt;=0.000001*MAX(1,ABS(B10))),EXACT(C10&amp;"",B10&amp;"")))</f>
      </c>
      <c r="E10">
        <f>ISERROR(C10)</f>
      </c>
    </row>
    <row r="11">
      <c r="A11" t="str">
        <v>I11</v>
      </c>
      <c r="B11">
        <v>4180</v>
      </c>
      <c r="C11">
        <f>'ly12'!I11</f>
      </c>
      <c r="D11">
        <f>IF(ISERROR(C11),LEFT(B11&amp;"",1)="#",IF(ISNUMBER(C11),AND(ISNUMBER(B11),ABS(C11-B11)&lt;=0.000001*MAX(1,ABS(B11))),EXACT(C11&amp;"",B11&amp;"")))</f>
      </c>
      <c r="E11">
        <f>ISERROR(C11)</f>
      </c>
    </row>
    <row r="12">
      <c r="A12" t="str">
        <v>I12</v>
      </c>
      <c r="B12">
        <v>4180</v>
      </c>
      <c r="C12">
        <f>'ly12'!I12</f>
      </c>
      <c r="D12">
        <f>IF(ISERROR(C12),LEFT(B12&amp;"",1)="#",IF(ISNUMBER(C12),AND(ISNUMBER(B12),ABS(C12-B12)&lt;=0.000001*MAX(1,ABS(B12))),EXACT(C12&amp;"",B12&amp;"")))</f>
      </c>
      <c r="E12">
        <f>ISERROR(C12)</f>
      </c>
    </row>
    <row r="13">
      <c r="A13" t="str">
        <v>I13</v>
      </c>
      <c r="B13">
        <v>460</v>
      </c>
      <c r="C13">
        <f>'ly12'!I13</f>
      </c>
      <c r="D13">
        <f>IF(ISERROR(C13),LEFT(B13&amp;"",1)="#",IF(ISNUMBER(C13),AND(ISNUMBER(B13),ABS(C13-B13)&lt;=0.000001*MAX(1,ABS(B13))),EXACT(C13&amp;"",B13&amp;"")))</f>
      </c>
      <c r="E13">
        <f>ISERROR(C13)</f>
      </c>
    </row>
    <row r="14">
      <c r="A14" t="str">
        <v>J2</v>
      </c>
      <c r="B14">
        <v>355.3</v>
      </c>
      <c r="C14">
        <f>'ly12'!J2</f>
      </c>
      <c r="D14">
        <f>IF(ISERROR(C14),LEFT(B14&amp;"",1)="#",IF(ISNUMBER(C14),AND(ISNUMBER(B14),ABS(C14-B14)&lt;=0.000001*MAX(1,ABS(B14))),EXACT(C14&amp;"",B14&amp;"")))</f>
      </c>
      <c r="E14">
        <f>ISERROR(C14)</f>
      </c>
    </row>
    <row r="15">
      <c r="A15" t="str">
        <v>J3</v>
      </c>
      <c r="B15">
        <v>99</v>
      </c>
      <c r="C15">
        <f>'ly12'!J3</f>
      </c>
      <c r="D15">
        <f>IF(ISERROR(C15),LEFT(B15&amp;"",1)="#",IF(ISNUMBER(C15),AND(ISNUMBER(B15),ABS(C15-B15)&lt;=0.000001*MAX(1,ABS(B15))),EXACT(C15&amp;"",B15&amp;"")))</f>
      </c>
      <c r="E15">
        <f>ISERROR(C15)</f>
      </c>
    </row>
    <row r="16">
      <c r="A16" t="str">
        <v>J4</v>
      </c>
      <c r="B16">
        <v>82.08</v>
      </c>
      <c r="C16">
        <f>'ly12'!J4</f>
      </c>
      <c r="D16">
        <f>IF(ISERROR(C16),LEFT(B16&amp;"",1)="#",IF(ISNUMBER(C16),AND(ISNUMBER(B16),ABS(C16-B16)&lt;=0.000001*MAX(1,ABS(B16))),EXACT(C16&amp;"",B16&amp;"")))</f>
      </c>
      <c r="E16">
        <f>ISERROR(C16)</f>
      </c>
    </row>
    <row r="17">
      <c r="A17" t="str">
        <v>J5</v>
      </c>
      <c r="B17">
        <v>39.33</v>
      </c>
      <c r="C17">
        <f>'ly12'!J5</f>
      </c>
      <c r="D17">
        <f>IF(ISERROR(C17),LEFT(B17&amp;"",1)="#",IF(ISNUMBER(C17),AND(ISNUMBER(B17),ABS(C17-B17)&lt;=0.000001*MAX(1,ABS(B17))),EXACT(C17&amp;"",B17&amp;"")))</f>
      </c>
      <c r="E17">
        <f>ISERROR(C17)</f>
      </c>
    </row>
    <row r="18">
      <c r="A18" t="str">
        <v>J6</v>
      </c>
      <c r="B18">
        <v>7.6</v>
      </c>
      <c r="C18">
        <f>'ly12'!J6</f>
      </c>
      <c r="D18">
        <f>IF(ISERROR(C18),LEFT(B18&amp;"",1)="#",IF(ISNUMBER(C18),AND(ISNUMBER(B18),ABS(C18-B18)&lt;=0.000001*MAX(1,ABS(B18))),EXACT(C18&amp;"",B18&amp;"")))</f>
      </c>
      <c r="E18">
        <f>ISERROR(C18)</f>
      </c>
    </row>
    <row r="19">
      <c r="A19" t="str">
        <v>J7</v>
      </c>
      <c r="B19">
        <v>131.1</v>
      </c>
      <c r="C19">
        <f>'ly12'!J7</f>
      </c>
      <c r="D19">
        <f>IF(ISERROR(C19),LEFT(B19&amp;"",1)="#",IF(ISNUMBER(C19),AND(ISNUMBER(B19),ABS(C19-B19)&lt;=0.000001*MAX(1,ABS(B19))),EXACT(C19&amp;"",B19&amp;"")))</f>
      </c>
      <c r="E19">
        <f>ISERROR(C19)</f>
      </c>
    </row>
    <row r="20">
      <c r="A20" t="str">
        <v>J8</v>
      </c>
      <c r="B20">
        <v>22.88</v>
      </c>
      <c r="C20">
        <f>'ly12'!J8</f>
      </c>
      <c r="D20">
        <f>IF(ISERROR(C20),LEFT(B20&amp;"",1)="#",IF(ISNUMBER(C20),AND(ISNUMBER(B20),ABS(C20-B20)&lt;=0.000001*MAX(1,ABS(B20))),EXACT(C20&amp;"",B20&amp;"")))</f>
      </c>
      <c r="E20">
        <f>ISERROR(C20)</f>
      </c>
    </row>
    <row r="21">
      <c r="A21" t="str">
        <v>J9</v>
      </c>
      <c r="B21">
        <v>28.16</v>
      </c>
      <c r="C21">
        <f>'ly12'!J9</f>
      </c>
      <c r="D21">
        <f>IF(ISERROR(C21),LEFT(B21&amp;"",1)="#",IF(ISNUMBER(C21),AND(ISNUMBER(B21),ABS(C21-B21)&lt;=0.000001*MAX(1,ABS(B21))),EXACT(C21&amp;"",B21&amp;"")))</f>
      </c>
      <c r="E21">
        <f>ISERROR(C21)</f>
      </c>
    </row>
    <row r="22">
      <c r="A22" t="str">
        <v>J10</v>
      </c>
      <c r="B22">
        <v>47.15</v>
      </c>
      <c r="C22">
        <f>'ly12'!J10</f>
      </c>
      <c r="D22">
        <f>IF(ISERROR(C22),LEFT(B22&amp;"",1)="#",IF(ISNUMBER(C22),AND(ISNUMBER(B22),ABS(C22-B22)&lt;=0.000001*MAX(1,ABS(B22))),EXACT(C22&amp;"",B22&amp;"")))</f>
      </c>
      <c r="E22">
        <f>ISERROR(C22)</f>
      </c>
    </row>
    <row r="23">
      <c r="A23" t="str">
        <v>J11</v>
      </c>
      <c r="B23">
        <v>384.56</v>
      </c>
      <c r="C23">
        <f>'ly12'!J11</f>
      </c>
      <c r="D23">
        <f>IF(ISERROR(C23),LEFT(B23&amp;"",1)="#",IF(ISNUMBER(C23),AND(ISNUMBER(B23),ABS(C23-B23)&lt;=0.000001*MAX(1,ABS(B23))),EXACT(C23&amp;"",B23&amp;"")))</f>
      </c>
      <c r="E23">
        <f>ISERROR(C23)</f>
      </c>
    </row>
    <row r="24">
      <c r="A24" t="str">
        <v>J12</v>
      </c>
      <c r="B24">
        <v>244.53</v>
      </c>
      <c r="C24">
        <f>'ly12'!J12</f>
      </c>
      <c r="D24">
        <f>IF(ISERROR(C24),LEFT(B24&amp;"",1)="#",IF(ISNUMBER(C24),AND(ISNUMBER(B24),ABS(C24-B24)&lt;=0.000001*MAX(1,ABS(B24))),EXACT(C24&amp;"",B24&amp;"")))</f>
      </c>
      <c r="E24">
        <f>ISERROR(C24)</f>
      </c>
    </row>
    <row r="25">
      <c r="A25" t="str">
        <v>J13</v>
      </c>
      <c r="B25">
        <v>115.92</v>
      </c>
      <c r="C25">
        <f>'ly12'!J13</f>
      </c>
      <c r="D25">
        <f>IF(ISERROR(C25),LEFT(B25&amp;"",1)="#",IF(ISNUMBER(C25),AND(ISNUMBER(B25),ABS(C25-B25)&lt;=0.000001*MAX(1,ABS(B25))),EXACT(C25&amp;"",B25&amp;"")))</f>
      </c>
      <c r="E25">
        <f>ISERROR(C25)</f>
      </c>
    </row>
    <row r="26">
      <c r="A26" t="str">
        <v>K2</v>
      </c>
      <c r="B26">
        <v>69.71</v>
      </c>
      <c r="C26">
        <f>'ly12'!K2</f>
      </c>
      <c r="D26">
        <f>IF(ISERROR(C26),LEFT(B26&amp;"",1)="#",IF(ISNUMBER(C26),AND(ISNUMBER(B26),ABS(C26-B26)&lt;=0.000001*MAX(1,ABS(B26))),EXACT(C26&amp;"",B26&amp;"")))</f>
      </c>
      <c r="E26">
        <f>ISERROR(C26)</f>
      </c>
    </row>
    <row r="27">
      <c r="A27" t="str">
        <v>K3</v>
      </c>
      <c r="B27">
        <v>791.11</v>
      </c>
      <c r="C27">
        <f>'ly12'!K3</f>
      </c>
      <c r="D27">
        <f>IF(ISERROR(C27),LEFT(B27&amp;"",1)="#",IF(ISNUMBER(C27),AND(ISNUMBER(B27),ABS(C27-B27)&lt;=0.000001*MAX(1,ABS(B27))),EXACT(C27&amp;"",B27&amp;"")))</f>
      </c>
      <c r="E27">
        <f>ISERROR(C27)</f>
      </c>
    </row>
    <row r="28">
      <c r="A28" t="str">
        <v>K4</v>
      </c>
      <c r="B28">
        <v>385.28</v>
      </c>
      <c r="C28">
        <f>'ly12'!K4</f>
      </c>
      <c r="D28">
        <f>IF(ISERROR(C28),LEFT(B28&amp;"",1)="#",IF(ISNUMBER(C28),AND(ISNUMBER(B28),ABS(C28-B28)&lt;=0.000001*MAX(1,ABS(B28))),EXACT(C28&amp;"",B28&amp;"")))</f>
      </c>
      <c r="E28">
        <f>ISERROR(C28)</f>
      </c>
    </row>
    <row r="29">
      <c r="A29" t="str">
        <v>K5</v>
      </c>
      <c r="B29">
        <v>577.92</v>
      </c>
      <c r="C29">
        <f>'ly12'!K5</f>
      </c>
      <c r="D29">
        <f>IF(ISERROR(C29),LEFT(B29&amp;"",1)="#",IF(ISNUMBER(C29),AND(ISNUMBER(B29),ABS(C29-B29)&lt;=0.000001*MAX(1,ABS(B29))),EXACT(C29&amp;"",B29&amp;"")))</f>
      </c>
      <c r="E29">
        <f>ISERROR(C29)</f>
      </c>
    </row>
    <row r="30">
      <c r="A30" t="str">
        <v>K6</v>
      </c>
      <c r="B30">
        <v>239.95</v>
      </c>
      <c r="C30">
        <f>'ly12'!K6</f>
      </c>
      <c r="D30">
        <f>IF(ISERROR(C30),LEFT(B30&amp;"",1)="#",IF(ISNUMBER(C30),AND(ISNUMBER(B30),ABS(C30-B30)&lt;=0.000001*MAX(1,ABS(B30))),EXACT(C30&amp;"",B30&amp;"")))</f>
      </c>
      <c r="E30">
        <f>ISERROR(C30)</f>
      </c>
    </row>
    <row r="31">
      <c r="A31" t="str">
        <v>K7</v>
      </c>
      <c r="B31">
        <v>294.67</v>
      </c>
      <c r="C31">
        <f>'ly12'!K7</f>
      </c>
      <c r="D31">
        <f>IF(ISERROR(C31),LEFT(B31&amp;"",1)="#",IF(ISNUMBER(C31),AND(ISNUMBER(B31),ABS(C31-B31)&lt;=0.000001*MAX(1,ABS(B31))),EXACT(C31&amp;"",B31&amp;"")))</f>
      </c>
      <c r="E31">
        <f>ISERROR(C31)</f>
      </c>
    </row>
    <row r="32">
      <c r="A32" t="str">
        <v>K8</v>
      </c>
      <c r="B32">
        <v>291.34</v>
      </c>
      <c r="C32">
        <f>'ly12'!K8</f>
      </c>
      <c r="D32">
        <f>IF(ISERROR(C32),LEFT(B32&amp;"",1)="#",IF(ISNUMBER(C32),AND(ISNUMBER(B32),ABS(C32-B32)&lt;=0.000001*MAX(1,ABS(B32))),EXACT(C32&amp;"",B32&amp;"")))</f>
      </c>
      <c r="E32">
        <f>ISERROR(C32)</f>
      </c>
    </row>
    <row r="33">
      <c r="A33" t="str">
        <v>K9</v>
      </c>
      <c r="B33">
        <v>337.02</v>
      </c>
      <c r="C33">
        <f>'ly12'!K9</f>
      </c>
      <c r="D33">
        <f>IF(ISERROR(C33),LEFT(B33&amp;"",1)="#",IF(ISNUMBER(C33),AND(ISNUMBER(B33),ABS(C33-B33)&lt;=0.000001*MAX(1,ABS(B33))),EXACT(C33&amp;"",B33&amp;"")))</f>
      </c>
      <c r="E33">
        <f>ISERROR(C33)</f>
      </c>
    </row>
    <row r="34">
      <c r="A34" t="str">
        <v>K10</v>
      </c>
      <c r="B34">
        <v>332.4</v>
      </c>
      <c r="C34">
        <f>'ly12'!K10</f>
      </c>
      <c r="D34">
        <f>IF(ISERROR(C34),LEFT(B34&amp;"",1)="#",IF(ISNUMBER(C34),AND(ISNUMBER(B34),ABS(C34-B34)&lt;=0.000001*MAX(1,ABS(B34))),EXACT(C34&amp;"",B34&amp;"")))</f>
      </c>
      <c r="E34">
        <f>ISERROR(C34)</f>
      </c>
    </row>
    <row r="35">
      <c r="A35" t="str">
        <v>K11</v>
      </c>
      <c r="B35">
        <v>2666.13</v>
      </c>
      <c r="C35">
        <f>'ly12'!K11</f>
      </c>
      <c r="D35">
        <f>IF(ISERROR(C35),LEFT(B35&amp;"",1)="#",IF(ISNUMBER(C35),AND(ISNUMBER(B35),ABS(C35-B35)&lt;=0.000001*MAX(1,ABS(B35))),EXACT(C35&amp;"",B35&amp;"")))</f>
      </c>
      <c r="E35">
        <f>ISERROR(C35)</f>
      </c>
    </row>
    <row r="36">
      <c r="A36" t="str">
        <v>K12</v>
      </c>
      <c r="B36">
        <v>1325.45</v>
      </c>
      <c r="C36">
        <f>'ly12'!K12</f>
      </c>
      <c r="D36">
        <f>IF(ISERROR(C36),LEFT(B36&amp;"",1)="#",IF(ISNUMBER(C36),AND(ISNUMBER(B36),ABS(C36-B36)&lt;=0.000001*MAX(1,ABS(B36))),EXACT(C36&amp;"",B36&amp;"")))</f>
      </c>
      <c r="E36">
        <f>ISERROR(C36)</f>
      </c>
    </row>
    <row r="37">
      <c r="A37" t="str">
        <v>K13</v>
      </c>
      <c r="B37">
        <v>766.08</v>
      </c>
      <c r="C37">
        <f>'ly12'!K13</f>
      </c>
      <c r="D37">
        <f>IF(ISERROR(C37),LEFT(B37&amp;"",1)="#",IF(ISNUMBER(C37),AND(ISNUMBER(B37),ABS(C37-B37)&lt;=0.000001*MAX(1,ABS(B37))),EXACT(C37&amp;"",B37&amp;"")))</f>
      </c>
      <c r="E37">
        <f>ISERROR(C37)</f>
      </c>
    </row>
    <row r="38">
      <c r="A38" t="str">
        <v>L2</v>
      </c>
      <c r="B38">
        <v>29</v>
      </c>
      <c r="C38">
        <f>'ly12'!L2</f>
      </c>
      <c r="D38">
        <f>IF(ISERROR(C38),LEFT(B38&amp;"",1)="#",IF(ISNUMBER(C38),AND(ISNUMBER(B38),ABS(C38-B38)&lt;=0.000001*MAX(1,ABS(B38))),EXACT(C38&amp;"",B38&amp;"")))</f>
      </c>
      <c r="E38">
        <f>ISERROR(C38)</f>
      </c>
    </row>
    <row r="39">
      <c r="A39" t="str">
        <v>L3</v>
      </c>
      <c r="B39">
        <v>84</v>
      </c>
      <c r="C39">
        <f>'ly12'!L3</f>
      </c>
      <c r="D39">
        <f>IF(ISERROR(C39),LEFT(B39&amp;"",1)="#",IF(ISNUMBER(C39),AND(ISNUMBER(B39),ABS(C39-B39)&lt;=0.000001*MAX(1,ABS(B39))),EXACT(C39&amp;"",B39&amp;"")))</f>
      </c>
      <c r="E39">
        <f>ISERROR(C39)</f>
      </c>
    </row>
    <row r="40">
      <c r="A40" t="str">
        <v>L4</v>
      </c>
      <c r="B40">
        <v>33</v>
      </c>
      <c r="C40">
        <f>'ly12'!L4</f>
      </c>
      <c r="D40">
        <f>IF(ISERROR(C40),LEFT(B40&amp;"",1)="#",IF(ISNUMBER(C40),AND(ISNUMBER(B40),ABS(C40-B40)&lt;=0.000001*MAX(1,ABS(B40))),EXACT(C40&amp;"",B40&amp;"")))</f>
      </c>
      <c r="E40">
        <f>ISERROR(C40)</f>
      </c>
    </row>
    <row r="41">
      <c r="A41" t="str">
        <v>L5</v>
      </c>
      <c r="B41">
        <v>33</v>
      </c>
      <c r="C41">
        <f>'ly12'!L5</f>
      </c>
      <c r="D41">
        <f>IF(ISERROR(C41),LEFT(B41&amp;"",1)="#",IF(ISNUMBER(C41),AND(ISNUMBER(B41),ABS(C41-B41)&lt;=0.000001*MAX(1,ABS(B41))),EXACT(C41&amp;"",B41&amp;"")))</f>
      </c>
      <c r="E41">
        <f>ISERROR(C41)</f>
      </c>
    </row>
    <row r="42">
      <c r="A42" t="str">
        <v>L6</v>
      </c>
      <c r="B42">
        <v>112</v>
      </c>
      <c r="C42">
        <f>'ly12'!L6</f>
      </c>
      <c r="D42">
        <f>IF(ISERROR(C42),LEFT(B42&amp;"",1)="#",IF(ISNUMBER(C42),AND(ISNUMBER(B42),ABS(C42-B42)&lt;=0.000001*MAX(1,ABS(B42))),EXACT(C42&amp;"",B42&amp;"")))</f>
      </c>
      <c r="E42">
        <f>ISERROR(C42)</f>
      </c>
    </row>
    <row r="43">
      <c r="A43" t="str">
        <v>L7</v>
      </c>
      <c r="B43">
        <v>55</v>
      </c>
      <c r="C43">
        <f>'ly12'!L7</f>
      </c>
      <c r="D43">
        <f>IF(ISERROR(C43),LEFT(B43&amp;"",1)="#",IF(ISNUMBER(C43),AND(ISNUMBER(B43),ABS(C43-B43)&lt;=0.000001*MAX(1,ABS(B43))),EXACT(C43&amp;"",B43&amp;"")))</f>
      </c>
      <c r="E43">
        <f>ISERROR(C43)</f>
      </c>
    </row>
    <row r="44">
      <c r="A44" t="str">
        <v>L8</v>
      </c>
      <c r="B44">
        <v>25</v>
      </c>
      <c r="C44">
        <f>'ly12'!L8</f>
      </c>
      <c r="D44">
        <f>IF(ISERROR(C44),LEFT(B44&amp;"",1)="#",IF(ISNUMBER(C44),AND(ISNUMBER(B44),ABS(C44-B44)&lt;=0.000001*MAX(1,ABS(B44))),EXACT(C44&amp;"",B44&amp;"")))</f>
      </c>
      <c r="E44">
        <f>ISERROR(C44)</f>
      </c>
    </row>
    <row r="45">
      <c r="A45" t="str">
        <v>L9</v>
      </c>
      <c r="B45">
        <v>92</v>
      </c>
      <c r="C45">
        <f>'ly12'!L9</f>
      </c>
      <c r="D45">
        <f>IF(ISERROR(C45),LEFT(B45&amp;"",1)="#",IF(ISNUMBER(C45),AND(ISNUMBER(B45),ABS(C45-B45)&lt;=0.000001*MAX(1,ABS(B45))),EXACT(C45&amp;"",B45&amp;"")))</f>
      </c>
      <c r="E45">
        <f>ISERROR(C45)</f>
      </c>
    </row>
    <row r="46">
      <c r="A46" t="str">
        <v>L10</v>
      </c>
      <c r="B46">
        <v>7</v>
      </c>
      <c r="C46">
        <f>'ly12'!L10</f>
      </c>
      <c r="D46">
        <f>IF(ISERROR(C46),LEFT(B46&amp;"",1)="#",IF(ISNUMBER(C46),AND(ISNUMBER(B46),ABS(C46-B46)&lt;=0.000001*MAX(1,ABS(B46))),EXACT(C46&amp;"",B46&amp;"")))</f>
      </c>
      <c r="E46">
        <f>ISERROR(C46)</f>
      </c>
    </row>
    <row r="47">
      <c r="A47" t="str">
        <v>L11</v>
      </c>
      <c r="B47">
        <v>112</v>
      </c>
      <c r="C47">
        <f>'ly12'!L11</f>
      </c>
      <c r="D47">
        <f>IF(ISERROR(C47),LEFT(B47&amp;"",1)="#",IF(ISNUMBER(C47),AND(ISNUMBER(B47),ABS(C47-B47)&lt;=0.000001*MAX(1,ABS(B47))),EXACT(C47&amp;"",B47&amp;"")))</f>
      </c>
      <c r="E47">
        <f>ISERROR(C47)</f>
      </c>
    </row>
    <row r="48">
      <c r="A48" t="str">
        <v>L12</v>
      </c>
      <c r="B48">
        <v>46</v>
      </c>
      <c r="C48">
        <f>'ly12'!L12</f>
      </c>
      <c r="D48">
        <f>IF(ISERROR(C48),LEFT(B48&amp;"",1)="#",IF(ISNUMBER(C48),AND(ISNUMBER(B48),ABS(C48-B48)&lt;=0.000001*MAX(1,ABS(B48))),EXACT(C48&amp;"",B48&amp;"")))</f>
      </c>
      <c r="E48">
        <f>ISERROR(C48)</f>
      </c>
    </row>
    <row r="49">
      <c r="A49" t="str">
        <v>L13</v>
      </c>
      <c r="B49">
        <v>22</v>
      </c>
      <c r="C49">
        <f>'ly12'!L13</f>
      </c>
      <c r="D49">
        <f>IF(ISERROR(C49),LEFT(B49&amp;"",1)="#",IF(ISNUMBER(C49),AND(ISNUMBER(B49),ABS(C49-B49)&lt;=0.000001*MAX(1,ABS(B49))),EXACT(C49&amp;"",B49&amp;"")))</f>
      </c>
      <c r="E49">
        <f>ISERROR(C49)</f>
      </c>
    </row>
    <row r="50">
      <c r="A50" t="str">
        <v>M2</v>
      </c>
      <c r="B50" t="str">
        <v>BINH THUONG</v>
      </c>
      <c r="C50">
        <f>'ly12'!M2</f>
      </c>
      <c r="D50">
        <f>IF(ISERROR(C50),LEFT(B50&amp;"",1)="#",IF(ISNUMBER(C50),AND(ISNUMBER(B50),ABS(C50-B50)&lt;=0.000001*MAX(1,ABS(B50))),EXACT(C50&amp;"",B50&amp;"")))</f>
      </c>
      <c r="E50">
        <f>ISERROR(C50)</f>
      </c>
    </row>
    <row r="51">
      <c r="A51" t="str">
        <v>M3</v>
      </c>
      <c r="B51" t="str">
        <v>CAO AP</v>
      </c>
      <c r="C51">
        <f>'ly12'!M3</f>
      </c>
      <c r="D51">
        <f>IF(ISERROR(C51),LEFT(B51&amp;"",1)="#",IF(ISNUMBER(C51),AND(ISNUMBER(B51),ABS(C51-B51)&lt;=0.000001*MAX(1,ABS(B51))),EXACT(C51&amp;"",B51&amp;"")))</f>
      </c>
      <c r="E51">
        <f>ISERROR(C51)</f>
      </c>
    </row>
    <row r="52">
      <c r="A52" t="str">
        <v>M4</v>
      </c>
      <c r="B52" t="str">
        <v>BINH THUONG</v>
      </c>
      <c r="C52">
        <f>'ly12'!M4</f>
      </c>
      <c r="D52">
        <f>IF(ISERROR(C52),LEFT(B52&amp;"",1)="#",IF(ISNUMBER(C52),AND(ISNUMBER(B52),ABS(C52-B52)&lt;=0.000001*MAX(1,ABS(B52))),EXACT(C52&amp;"",B52&amp;"")))</f>
      </c>
      <c r="E52">
        <f>ISERROR(C52)</f>
      </c>
    </row>
    <row r="53">
      <c r="A53" t="str">
        <v>M5</v>
      </c>
      <c r="B53" t="str">
        <v>CAO AP</v>
      </c>
      <c r="C53">
        <f>'ly12'!M5</f>
      </c>
      <c r="D53">
        <f>IF(ISERROR(C53),LEFT(B53&amp;"",1)="#",IF(ISNUMBER(C53),AND(ISNUMBER(B53),ABS(C53-B53)&lt;=0.000001*MAX(1,ABS(B53))),EXACT(C53&amp;"",B53&amp;"")))</f>
      </c>
      <c r="E53">
        <f>ISERROR(C53)</f>
      </c>
    </row>
    <row r="54">
      <c r="A54" t="str">
        <v>M6</v>
      </c>
      <c r="B54" t="str">
        <v>BINH THUONG</v>
      </c>
      <c r="C54">
        <f>'ly12'!M6</f>
      </c>
      <c r="D54">
        <f>IF(ISERROR(C54),LEFT(B54&amp;"",1)="#",IF(ISNUMBER(C54),AND(ISNUMBER(B54),ABS(C54-B54)&lt;=0.000001*MAX(1,ABS(B54))),EXACT(C54&amp;"",B54&amp;"")))</f>
      </c>
      <c r="E54">
        <f>ISERROR(C54)</f>
      </c>
    </row>
    <row r="55">
      <c r="A55" t="str">
        <v>M7</v>
      </c>
      <c r="B55" t="str">
        <v>BINH THUONG</v>
      </c>
      <c r="C55">
        <f>'ly12'!M7</f>
      </c>
      <c r="D55">
        <f>IF(ISERROR(C55),LEFT(B55&amp;"",1)="#",IF(ISNUMBER(C55),AND(ISNUMBER(B55),ABS(C55-B55)&lt;=0.000001*MAX(1,ABS(B55))),EXACT(C55&amp;"",B55&amp;"")))</f>
      </c>
      <c r="E55">
        <f>ISERROR(C55)</f>
      </c>
    </row>
    <row r="56">
      <c r="A56" t="str">
        <v>M8</v>
      </c>
      <c r="B56" t="str">
        <v>BINH THUONG</v>
      </c>
      <c r="C56">
        <f>'ly12'!M8</f>
      </c>
      <c r="D56">
        <f>IF(ISERROR(C56),LEFT(B56&amp;"",1)="#",IF(ISNUMBER(C56),AND(ISNUMBER(B56),ABS(C56-B56)&lt;=0.000001*MAX(1,ABS(B56))),EXACT(C56&amp;"",B56&amp;"")))</f>
      </c>
      <c r="E56">
        <f>ISERROR(C56)</f>
      </c>
    </row>
    <row r="57">
      <c r="A57" t="str">
        <v>M9</v>
      </c>
      <c r="B57" t="str">
        <v>BINH THUONG</v>
      </c>
      <c r="C57">
        <f>'ly12'!M9</f>
      </c>
      <c r="D57">
        <f>IF(ISERROR(C57),LEFT(B57&amp;"",1)="#",IF(ISNUMBER(C57),AND(ISNUMBER(B57),ABS(C57-B57)&lt;=0.000001*MAX(1,ABS(B57))),EXACT(C57&amp;"",B57&amp;"")))</f>
      </c>
      <c r="E57">
        <f>ISERROR(C57)</f>
      </c>
    </row>
    <row r="58">
      <c r="A58" t="str">
        <v>M10</v>
      </c>
      <c r="B58" t="str">
        <v>BINH THUONG</v>
      </c>
      <c r="C58">
        <f>'ly12'!M10</f>
      </c>
      <c r="D58">
        <f>IF(ISERROR(C58),LEFT(B58&amp;"",1)="#",IF(ISNUMBER(C58),AND(ISNUMBER(B58),ABS(C58-B58)&lt;=0.000001*MAX(1,ABS(B58))),EXACT(C58&amp;"",B58&amp;"")))</f>
      </c>
      <c r="E58">
        <f>ISERROR(C58)</f>
      </c>
    </row>
    <row r="59">
      <c r="A59" t="str">
        <v>M11</v>
      </c>
      <c r="B59" t="str">
        <v>CAO AP</v>
      </c>
      <c r="C59">
        <f>'ly12'!M11</f>
      </c>
      <c r="D59">
        <f>IF(ISERROR(C59),LEFT(B59&amp;"",1)="#",IF(ISNUMBER(C59),AND(ISNUMBER(B59),ABS(C59-B59)&lt;=0.000001*MAX(1,ABS(B59))),EXACT(C59&amp;"",B59&amp;"")))</f>
      </c>
      <c r="E59">
        <f>ISERROR(C59)</f>
      </c>
    </row>
    <row r="60">
      <c r="A60" t="str">
        <v>M12</v>
      </c>
      <c r="B60" t="str">
        <v>CAO AP</v>
      </c>
      <c r="C60">
        <f>'ly12'!M12</f>
      </c>
      <c r="D60">
        <f>IF(ISERROR(C60),LEFT(B60&amp;"",1)="#",IF(ISNUMBER(C60),AND(ISNUMBER(B60),ABS(C60-B60)&lt;=0.000001*MAX(1,ABS(B60))),EXACT(C60&amp;"",B60&amp;"")))</f>
      </c>
      <c r="E60">
        <f>ISERROR(C60)</f>
      </c>
    </row>
    <row r="61">
      <c r="A61" t="str">
        <v>M13</v>
      </c>
      <c r="B61" t="str">
        <v>CAO AP</v>
      </c>
      <c r="C61">
        <f>'ly12'!M13</f>
      </c>
      <c r="D61">
        <f>IF(ISERROR(C61),LEFT(B61&amp;"",1)="#",IF(ISNUMBER(C61),AND(ISNUMBER(B61),ABS(C61-B61)&lt;=0.000001*MAX(1,ABS(B61))),EXACT(C61&amp;"",B61&amp;"")))</f>
      </c>
      <c r="E61">
        <f>ISERROR(C61)</f>
      </c>
    </row>
    <row r="62">
      <c r="A62" t="str">
        <v>Z2</v>
      </c>
      <c r="B62" t="str">
        <v>TN10</v>
      </c>
      <c r="C62">
        <f>'ly12'!Z2</f>
      </c>
      <c r="D62">
        <f>IF(ISERROR(C62),LEFT(B62&amp;"",1)="#",IF(ISNUMBER(C62),AND(ISNUMBER(B62),ABS(C62-B62)&lt;=0.000001*MAX(1,ABS(B62))),EXACT(C62&amp;"",B62&amp;"")))</f>
      </c>
      <c r="E62">
        <f>ISERROR(C62)</f>
      </c>
    </row>
    <row r="63">
      <c r="A63" t="str">
        <v>Z3</v>
      </c>
      <c r="B63">
        <v>984.39</v>
      </c>
      <c r="C63">
        <f>'ly12'!Z3</f>
      </c>
      <c r="D63">
        <f>IF(ISERROR(C63),LEFT(B63&amp;"",1)="#",IF(ISNUMBER(C63),AND(ISNUMBER(B63),ABS(C63-B63)&lt;=0.000001*MAX(1,ABS(B63))),EXACT(C63&amp;"",B63&amp;"")))</f>
      </c>
      <c r="E63">
        <f>ISERROR(C63)</f>
      </c>
    </row>
    <row r="64">
      <c r="A64" t="str">
        <v>Z4</v>
      </c>
      <c r="B64">
        <v>3</v>
      </c>
      <c r="C64">
        <f>'ly12'!Z4</f>
      </c>
      <c r="D64">
        <f>IF(ISERROR(C64),LEFT(B64&amp;"",1)="#",IF(ISNUMBER(C64),AND(ISNUMBER(B64),ABS(C64-B64)&lt;=0.000001*MAX(1,ABS(B64))),EXACT(C64&amp;"",B64&amp;"")))</f>
      </c>
      <c r="E64">
        <f>ISERROR(C64)</f>
      </c>
    </row>
    <row r="65">
      <c r="A65" t="str">
        <v>Z5</v>
      </c>
      <c r="B65">
        <v>312.615</v>
      </c>
      <c r="C65">
        <f>'ly12'!Z5</f>
      </c>
      <c r="D65">
        <f>IF(ISERROR(C65),LEFT(B65&amp;"",1)="#",IF(ISNUMBER(C65),AND(ISNUMBER(B65),ABS(C65-B65)&lt;=0.000001*MAX(1,ABS(B65))),EXACT(C65&amp;"",B65&amp;"")))</f>
      </c>
      <c r="E65">
        <f>ISERROR(C65)</f>
      </c>
    </row>
    <row r="66">
      <c r="A66" t="str">
        <v>Z6</v>
      </c>
      <c r="B66">
        <v>131.1</v>
      </c>
      <c r="C66">
        <f>'ly12'!Z6</f>
      </c>
      <c r="D66">
        <f>IF(ISERROR(C66),LEFT(B66&amp;"",1)="#",IF(ISNUMBER(C66),AND(ISNUMBER(B66),ABS(C66-B66)&lt;=0.000001*MAX(1,ABS(B66))),EXACT(C66&amp;"",B66&amp;"")))</f>
      </c>
      <c r="E66">
        <f>ISERROR(C66)</f>
      </c>
    </row>
    <row r="67">
      <c r="A67" t="str">
        <v>Z7</v>
      </c>
      <c r="B67">
        <v>361.15</v>
      </c>
      <c r="C67">
        <f>'ly12'!Z7</f>
      </c>
      <c r="D67">
        <f>IF(ISERROR(C67),LEFT(B67&amp;"",1)="#",IF(ISNUMBER(C67),AND(ISNUMBER(B67),ABS(C67-B67)&lt;=0.000001*MAX(1,ABS(B67))),EXACT(C67&amp;"",B67&amp;"")))</f>
      </c>
      <c r="E67">
        <f>ISERROR(C67)</f>
      </c>
    </row>
    <row r="68">
      <c r="A68" t="str">
        <v>Z8</v>
      </c>
      <c r="B68">
        <v>1325.45</v>
      </c>
      <c r="C68">
        <f>'ly12'!Z8</f>
      </c>
      <c r="D68">
        <f>IF(ISERROR(C68),LEFT(B68&amp;"",1)="#",IF(ISNUMBER(C68),AND(ISNUMBER(B68),ABS(C68-B68)&lt;=0.000001*MAX(1,ABS(B68))),EXACT(C68&amp;"",B68&amp;"")))</f>
      </c>
      <c r="E68">
        <f>ISERROR(C68)</f>
      </c>
    </row>
    <row r="69">
      <c r="A69" t="str">
        <v>Z9</v>
      </c>
      <c r="B69">
        <v>129.35</v>
      </c>
      <c r="C69">
        <f>'ly12'!Z9</f>
      </c>
      <c r="D69">
        <f>IF(ISERROR(C69),LEFT(B69&amp;"",1)="#",IF(ISNUMBER(C69),AND(ISNUMBER(B69),ABS(C69-B69)&lt;=0.000001*MAX(1,ABS(B69))),EXACT(C69&amp;"",B69&amp;"")))</f>
      </c>
      <c r="E69">
        <f>ISERROR(C69)</f>
      </c>
    </row>
    <row r="70">
      <c r="A70" t="str">
        <v>Z10</v>
      </c>
      <c r="B70">
        <v>984.39</v>
      </c>
      <c r="C70">
        <f>'ly12'!Z10</f>
      </c>
      <c r="D70">
        <f>IF(ISERROR(C70),LEFT(B70&amp;"",1)="#",IF(ISNUMBER(C70),AND(ISNUMBER(B70),ABS(C70-B70)&lt;=0.000001*MAX(1,ABS(B70))),EXACT(C70&amp;"",B70&amp;"")))</f>
      </c>
      <c r="E70">
        <f>ISERROR(C70)</f>
      </c>
    </row>
    <row r="71">
      <c r="A71" t="str">
        <v>Z11</v>
      </c>
      <c r="B71">
        <v>3</v>
      </c>
      <c r="C71">
        <f>'ly12'!Z11</f>
      </c>
      <c r="D71">
        <f>IF(ISERROR(C71),LEFT(B71&amp;"",1)="#",IF(ISNUMBER(C71),AND(ISNUMBER(B71),ABS(C71-B71)&lt;=0.000001*MAX(1,ABS(B71))),EXACT(C71&amp;"",B71&amp;"")))</f>
      </c>
      <c r="E71">
        <f>ISERROR(C71)</f>
      </c>
    </row>
    <row r="72">
      <c r="A72" t="str">
        <v>Z12</v>
      </c>
      <c r="B72">
        <v>984.39</v>
      </c>
      <c r="C72">
        <f>'ly12'!Z12</f>
      </c>
      <c r="D72">
        <f>IF(ISERROR(C72),LEFT(B72&amp;"",1)="#",IF(ISNUMBER(C72),AND(ISNUMBER(B72),ABS(C72-B72)&lt;=0.000001*MAX(1,ABS(B72))),EXACT(C72&amp;"",B72&amp;"")))</f>
      </c>
      <c r="E72">
        <f>ISERROR(C72)</f>
      </c>
    </row>
    <row r="73">
      <c r="A73" t="str">
        <v>Z13</v>
      </c>
      <c r="B73">
        <v>143</v>
      </c>
      <c r="C73">
        <f>'ly12'!Z13</f>
      </c>
      <c r="D73">
        <f>IF(ISERROR(C73),LEFT(B73&amp;"",1)="#",IF(ISNUMBER(C73),AND(ISNUMBER(B73),ABS(C73-B73)&lt;=0.000001*MAX(1,ABS(B73))),EXACT(C73&amp;"",B73&amp;"")))</f>
      </c>
      <c r="E73">
        <f>ISERROR(C73)</f>
      </c>
    </row>
  </sheetData>
  <ignoredErrors>
    <ignoredError numberStoredAsText="1" sqref="A1:E73"/>
  </ignoredErrors>
</worksheet>
</file>

<file path=xl/worksheets/sheet6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N0</v>
      </c>
      <c r="C1" t="str">
        <v>TBanRa</v>
      </c>
      <c r="D1" t="str">
        <v>t</v>
      </c>
      <c r="E1" t="str">
        <v>SoChuKy</v>
      </c>
      <c r="F1" t="str">
        <v>TyLeCon</v>
      </c>
      <c r="G1" t="str">
        <v>KhoiConLai</v>
      </c>
      <c r="H1" t="str">
        <v>DaPhanRa</v>
      </c>
      <c r="I1" t="str">
        <v>PhanLoai</v>
      </c>
      <c r="W1" t="str">
        <v>PhanLoai</v>
      </c>
      <c r="Y1" t="str">
        <v>TongHop</v>
      </c>
      <c r="Z1" t="str">
        <v>KetQua</v>
      </c>
    </row>
    <row r="2">
      <c r="A2" t="str">
        <v>PX01</v>
      </c>
      <c r="B2">
        <v>100</v>
      </c>
      <c r="C2">
        <v>5</v>
      </c>
      <c r="D2">
        <v>2</v>
      </c>
      <c r="E2">
        <f>ROUND(D2/C2,2)</f>
        <v>0.4</v>
      </c>
      <c r="F2">
        <f>ROUND(POWER(2,-D2/C2),4)</f>
        <v>0.7579</v>
      </c>
      <c r="G2">
        <f>ROUND(B2*POWER(2,-D2/C2),4)</f>
        <v>75.7858</v>
      </c>
      <c r="H2">
        <f>ROUND(B2-B2*POWER(2,-D2/C2),4)</f>
        <v>24.2142</v>
      </c>
      <c r="I2" t="str">
        <f>IF(F2&gt;=0.5,"CON NHIEU","CON IT")</f>
        <v>CON NHIEU</v>
      </c>
      <c r="W2" t="str">
        <v>CON NHIEU</v>
      </c>
      <c r="Y2" t="str">
        <v>Ma MaMau co KhoiConLai lon nhat</v>
      </c>
      <c r="Z2" t="str">
        <f>INDEX(A2:A13,MATCH(MAX(G2:G13),G2:G13,0))</f>
        <v>PX01</v>
      </c>
    </row>
    <row r="3">
      <c r="A3" t="str">
        <v>PX02</v>
      </c>
      <c r="B3">
        <v>40</v>
      </c>
      <c r="C3">
        <v>2</v>
      </c>
      <c r="D3">
        <v>24</v>
      </c>
      <c r="E3">
        <f>ROUND(D3/C3,2)</f>
        <v>12</v>
      </c>
      <c r="F3">
        <f>ROUND(POWER(2,-D3/C3),4)</f>
        <v>0.0002</v>
      </c>
      <c r="G3">
        <f>ROUND(B3*POWER(2,-D3/C3),4)</f>
        <v>0.0098</v>
      </c>
      <c r="H3">
        <f>ROUND(B3-B3*POWER(2,-D3/C3),4)</f>
        <v>39.9902</v>
      </c>
      <c r="I3" t="str">
        <f>IF(F3&gt;=0.5,"CON NHIEU","CON IT")</f>
        <v>CON IT</v>
      </c>
      <c r="Y3" t="str">
        <v>Tong DaPhanRa khi PhanLoai = CON NHIEU</v>
      </c>
      <c r="Z3">
        <f>SUMIF(I2:I13,"CON NHIEU",H2:H13)</f>
        <v>33.0585</v>
      </c>
    </row>
    <row r="4">
      <c r="A4" t="str">
        <v>PX03</v>
      </c>
      <c r="B4">
        <v>10</v>
      </c>
      <c r="C4">
        <v>10</v>
      </c>
      <c r="D4">
        <v>7</v>
      </c>
      <c r="E4">
        <f>ROUND(D4/C4,2)</f>
        <v>0.7</v>
      </c>
      <c r="F4">
        <f>ROUND(POWER(2,-D4/C4),4)</f>
        <v>0.6156</v>
      </c>
      <c r="G4">
        <f>ROUND(B4*POWER(2,-D4/C4),4)</f>
        <v>6.1557</v>
      </c>
      <c r="H4">
        <f>ROUND(B4-B4*POWER(2,-D4/C4),4)</f>
        <v>3.8443</v>
      </c>
      <c r="I4" t="str">
        <f>IF(F4&gt;=0.5,"CON NHIEU","CON IT")</f>
        <v>CON NHIEU</v>
      </c>
      <c r="Y4" t="str">
        <v>So dong PhanLoai = CON IT, N0 &gt;=40</v>
      </c>
      <c r="Z4">
        <f>COUNTIFS(I2:I13,"CON IT",B2:B13,"&gt;=40")</f>
        <v>5</v>
      </c>
    </row>
    <row r="5">
      <c r="A5" t="str">
        <v>PX04</v>
      </c>
      <c r="B5">
        <v>10</v>
      </c>
      <c r="C5">
        <v>10</v>
      </c>
      <c r="D5">
        <v>10</v>
      </c>
      <c r="E5">
        <f>ROUND(D5/C5,2)</f>
        <v>1</v>
      </c>
      <c r="F5">
        <f>ROUND(POWER(2,-D5/C5),4)</f>
        <v>0.5</v>
      </c>
      <c r="G5">
        <f>ROUND(B5*POWER(2,-D5/C5),4)</f>
        <v>5</v>
      </c>
      <c r="H5">
        <f>ROUND(B5-B5*POWER(2,-D5/C5),4)</f>
        <v>5</v>
      </c>
      <c r="I5" t="str">
        <f>IF(F5&gt;=0.5,"CON NHIEU","CON IT")</f>
        <v>CON NHIEU</v>
      </c>
      <c r="Y5" t="str">
        <v>KhoiConLai trung binh khi PhanLoai = CON IT</v>
      </c>
      <c r="Z5">
        <f>AVERAGEIF(I2:I13,"CON IT",G2:G13)</f>
        <v>3.807411111111111</v>
      </c>
    </row>
    <row r="6">
      <c r="A6" t="str">
        <v>PX05</v>
      </c>
      <c r="B6">
        <v>20</v>
      </c>
      <c r="C6">
        <v>8</v>
      </c>
      <c r="D6">
        <v>20</v>
      </c>
      <c r="E6">
        <f>ROUND(D6/C6,2)</f>
        <v>2.5</v>
      </c>
      <c r="F6">
        <f>ROUND(POWER(2,-D6/C6),4)</f>
        <v>0.1768</v>
      </c>
      <c r="G6">
        <f>ROUND(B6*POWER(2,-D6/C6),4)</f>
        <v>3.5355</v>
      </c>
      <c r="H6">
        <f>ROUND(B6-B6*POWER(2,-D6/C6),4)</f>
        <v>16.4645</v>
      </c>
      <c r="I6" t="str">
        <f>IF(F6&gt;=0.5,"CON NHIEU","CON IT")</f>
        <v>CON IT</v>
      </c>
      <c r="Y6" t="str">
        <v>DaPhanRa lon nhat khi PhanLoai = CON NHIEU</v>
      </c>
      <c r="Z6">
        <f>_xlfn.MAXIFS(H2:H13,I2:I13,"CON NHIEU")</f>
        <v>24.2142</v>
      </c>
    </row>
    <row r="7">
      <c r="A7" t="str">
        <v>PX06</v>
      </c>
      <c r="B7">
        <v>100</v>
      </c>
      <c r="C7">
        <v>4</v>
      </c>
      <c r="D7">
        <v>36</v>
      </c>
      <c r="E7">
        <f>ROUND(D7/C7,2)</f>
        <v>9</v>
      </c>
      <c r="F7">
        <f>ROUND(POWER(2,-D7/C7),4)</f>
        <v>0.002</v>
      </c>
      <c r="G7">
        <f>ROUND(B7*POWER(2,-D7/C7),4)</f>
        <v>0.1953</v>
      </c>
      <c r="H7">
        <f>ROUND(B7-B7*POWER(2,-D7/C7),4)</f>
        <v>99.8047</v>
      </c>
      <c r="I7" t="str">
        <f>IF(F7&gt;=0.5,"CON NHIEU","CON IT")</f>
        <v>CON IT</v>
      </c>
      <c r="Y7" t="str">
        <v>KhoiConLai trung vi</v>
      </c>
      <c r="Z7">
        <f>MEDIAN(G2:G13)</f>
        <v>2.39275</v>
      </c>
    </row>
    <row r="8">
      <c r="A8" t="str">
        <v>PX07</v>
      </c>
      <c r="B8">
        <v>20</v>
      </c>
      <c r="C8">
        <v>10</v>
      </c>
      <c r="D8">
        <v>40</v>
      </c>
      <c r="E8">
        <f>ROUND(D8/C8,2)</f>
        <v>4</v>
      </c>
      <c r="F8">
        <f>ROUND(POWER(2,-D8/C8),4)</f>
        <v>0.0625</v>
      </c>
      <c r="G8">
        <f>ROUND(B8*POWER(2,-D8/C8),4)</f>
        <v>1.25</v>
      </c>
      <c r="H8">
        <f>ROUND(B8-B8*POWER(2,-D8/C8),4)</f>
        <v>18.75</v>
      </c>
      <c r="I8" t="str">
        <f>IF(F8&gt;=0.5,"CON NHIEU","CON IT")</f>
        <v>CON IT</v>
      </c>
      <c r="Y8" t="str">
        <v>KhoiConLai lon thu hai</v>
      </c>
      <c r="Z8">
        <f>LARGE(G2:G13,2)</f>
        <v>14.3587</v>
      </c>
    </row>
    <row r="9">
      <c r="A9" t="str">
        <v>PX08</v>
      </c>
      <c r="B9">
        <v>100</v>
      </c>
      <c r="C9">
        <v>10</v>
      </c>
      <c r="D9">
        <v>29</v>
      </c>
      <c r="E9">
        <f>ROUND(D9/C9,2)</f>
        <v>2.9</v>
      </c>
      <c r="F9">
        <f>ROUND(POWER(2,-D9/C9),4)</f>
        <v>0.134</v>
      </c>
      <c r="G9">
        <f>ROUND(B9*POWER(2,-D9/C9),4)</f>
        <v>13.3972</v>
      </c>
      <c r="H9">
        <f>ROUND(B9-B9*POWER(2,-D9/C9),4)</f>
        <v>86.6028</v>
      </c>
      <c r="I9" t="str">
        <f>IF(F9&gt;=0.5,"CON NHIEU","CON IT")</f>
        <v>CON IT</v>
      </c>
      <c r="Y9" t="str">
        <v>Do lech chuan TyLeCon</v>
      </c>
      <c r="Z9">
        <f>ROUND(STDEV(F2:F13),4)</f>
        <v>0.268</v>
      </c>
    </row>
    <row r="10">
      <c r="A10" t="str">
        <v>PX09</v>
      </c>
      <c r="B10">
        <v>20</v>
      </c>
      <c r="C10">
        <v>8</v>
      </c>
      <c r="D10">
        <v>34</v>
      </c>
      <c r="E10">
        <f>ROUND(D10/C10,2)</f>
        <v>4.25</v>
      </c>
      <c r="F10">
        <f>ROUND(POWER(2,-D10/C10),4)</f>
        <v>0.0526</v>
      </c>
      <c r="G10">
        <f>ROUND(B10*POWER(2,-D10/C10),4)</f>
        <v>1.0511</v>
      </c>
      <c r="H10">
        <f>ROUND(B10-B10*POWER(2,-D10/C10),4)</f>
        <v>18.9489</v>
      </c>
      <c r="I10" t="str">
        <f>IF(F10&gt;=0.5,"CON NHIEU","CON IT")</f>
        <v>CON IT</v>
      </c>
      <c r="Y10" t="str">
        <v>Tong DaPhanRa theo tieu chi W1:W2</v>
      </c>
      <c r="Z10">
        <f>DSUM(A1:I13,"DaPhanRa",W1:W2)</f>
        <v>33.0585</v>
      </c>
    </row>
    <row r="11">
      <c r="A11" t="str">
        <v>PX10</v>
      </c>
      <c r="B11">
        <v>200</v>
      </c>
      <c r="C11">
        <v>4</v>
      </c>
      <c r="D11">
        <v>39</v>
      </c>
      <c r="E11">
        <f>ROUND(D11/C11,2)</f>
        <v>9.75</v>
      </c>
      <c r="F11">
        <f>ROUND(POWER(2,-D11/C11),4)</f>
        <v>0.0012</v>
      </c>
      <c r="G11">
        <f>ROUND(B11*POWER(2,-D11/C11),4)</f>
        <v>0.2323</v>
      </c>
      <c r="H11">
        <f>ROUND(B11-B11*POWER(2,-D11/C11),4)</f>
        <v>199.7677</v>
      </c>
      <c r="I11" t="str">
        <f>IF(F11&gt;=0.5,"CON NHIEU","CON IT")</f>
        <v>CON IT</v>
      </c>
      <c r="Y11" t="str">
        <v>So dong theo tieu chi W1:W2</v>
      </c>
      <c r="Z11">
        <f>DCOUNT(A1:I13,"DaPhanRa",W1:W2)</f>
        <v>3</v>
      </c>
    </row>
    <row r="12">
      <c r="A12" t="str">
        <v>PX11</v>
      </c>
      <c r="B12">
        <v>200</v>
      </c>
      <c r="C12">
        <v>10</v>
      </c>
      <c r="D12">
        <v>38</v>
      </c>
      <c r="E12">
        <f>ROUND(D12/C12,2)</f>
        <v>3.8</v>
      </c>
      <c r="F12">
        <f>ROUND(POWER(2,-D12/C12),4)</f>
        <v>0.0718</v>
      </c>
      <c r="G12">
        <f>ROUND(B12*POWER(2,-D12/C12),4)</f>
        <v>14.3587</v>
      </c>
      <c r="H12">
        <f>ROUND(B12-B12*POWER(2,-D12/C12),4)</f>
        <v>185.6413</v>
      </c>
      <c r="I12" t="str">
        <f>IF(F12&gt;=0.5,"CON NHIEU","CON IT")</f>
        <v>CON IT</v>
      </c>
      <c r="Y12" t="str">
        <v>Tong DaPhanRa khi PhanLoai = CON NHIEU (SUMPRODUCT)</v>
      </c>
      <c r="Z12">
        <f>SUMPRODUCT((I2:I13="CON NHIEU")*H2:H13)</f>
        <v>33.0585</v>
      </c>
    </row>
    <row r="13">
      <c r="A13" t="str">
        <v>PX12</v>
      </c>
      <c r="B13">
        <v>20</v>
      </c>
      <c r="C13">
        <v>5</v>
      </c>
      <c r="D13">
        <v>32</v>
      </c>
      <c r="E13">
        <f>ROUND(D13/C13,2)</f>
        <v>6.4</v>
      </c>
      <c r="F13">
        <f>ROUND(POWER(2,-D13/C13),4)</f>
        <v>0.0118</v>
      </c>
      <c r="G13">
        <f>ROUND(B13*POWER(2,-D13/C13),4)</f>
        <v>0.2368</v>
      </c>
      <c r="H13">
        <f>ROUND(B13-B13*POWER(2,-D13/C13),4)</f>
        <v>19.7632</v>
      </c>
      <c r="I13" t="str">
        <f>IF(F13&gt;=0.5,"CON NHIEU","CON IT")</f>
        <v>CON IT</v>
      </c>
      <c r="Y13" t="str">
        <v>Tong N0 x t</v>
      </c>
      <c r="Z13">
        <f>SUMPRODUCT(B2:B13,D2:D13)</f>
        <v>25750</v>
      </c>
    </row>
  </sheetData>
  <ignoredErrors>
    <ignoredError numberStoredAsText="1" sqref="A1:Z13"/>
  </ignoredErrors>
</worksheet>
</file>

<file path=xl/worksheets/sheet65.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0.4</v>
      </c>
      <c r="C2">
        <f>'ly12hn'!E2</f>
      </c>
      <c r="D2">
        <f>IF(ISERROR(C2),LEFT(B2&amp;"",1)="#",IF(ISNUMBER(C2),AND(ISNUMBER(B2),ABS(C2-B2)&lt;=0.000001*MAX(1,ABS(B2))),EXACT(C2&amp;"",B2&amp;"")))</f>
      </c>
      <c r="E2">
        <f>ISERROR(C2)</f>
      </c>
    </row>
    <row r="3">
      <c r="A3" t="str">
        <v>E3</v>
      </c>
      <c r="B3">
        <v>12</v>
      </c>
      <c r="C3">
        <f>'ly12hn'!E3</f>
      </c>
      <c r="D3">
        <f>IF(ISERROR(C3),LEFT(B3&amp;"",1)="#",IF(ISNUMBER(C3),AND(ISNUMBER(B3),ABS(C3-B3)&lt;=0.000001*MAX(1,ABS(B3))),EXACT(C3&amp;"",B3&amp;"")))</f>
      </c>
      <c r="E3">
        <f>ISERROR(C3)</f>
      </c>
    </row>
    <row r="4">
      <c r="A4" t="str">
        <v>E4</v>
      </c>
      <c r="B4">
        <v>0.7</v>
      </c>
      <c r="C4">
        <f>'ly12hn'!E4</f>
      </c>
      <c r="D4">
        <f>IF(ISERROR(C4),LEFT(B4&amp;"",1)="#",IF(ISNUMBER(C4),AND(ISNUMBER(B4),ABS(C4-B4)&lt;=0.000001*MAX(1,ABS(B4))),EXACT(C4&amp;"",B4&amp;"")))</f>
      </c>
      <c r="E4">
        <f>ISERROR(C4)</f>
      </c>
    </row>
    <row r="5">
      <c r="A5" t="str">
        <v>E5</v>
      </c>
      <c r="B5">
        <v>1</v>
      </c>
      <c r="C5">
        <f>'ly12hn'!E5</f>
      </c>
      <c r="D5">
        <f>IF(ISERROR(C5),LEFT(B5&amp;"",1)="#",IF(ISNUMBER(C5),AND(ISNUMBER(B5),ABS(C5-B5)&lt;=0.000001*MAX(1,ABS(B5))),EXACT(C5&amp;"",B5&amp;"")))</f>
      </c>
      <c r="E5">
        <f>ISERROR(C5)</f>
      </c>
    </row>
    <row r="6">
      <c r="A6" t="str">
        <v>E6</v>
      </c>
      <c r="B6">
        <v>2.5</v>
      </c>
      <c r="C6">
        <f>'ly12hn'!E6</f>
      </c>
      <c r="D6">
        <f>IF(ISERROR(C6),LEFT(B6&amp;"",1)="#",IF(ISNUMBER(C6),AND(ISNUMBER(B6),ABS(C6-B6)&lt;=0.000001*MAX(1,ABS(B6))),EXACT(C6&amp;"",B6&amp;"")))</f>
      </c>
      <c r="E6">
        <f>ISERROR(C6)</f>
      </c>
    </row>
    <row r="7">
      <c r="A7" t="str">
        <v>E7</v>
      </c>
      <c r="B7">
        <v>9</v>
      </c>
      <c r="C7">
        <f>'ly12hn'!E7</f>
      </c>
      <c r="D7">
        <f>IF(ISERROR(C7),LEFT(B7&amp;"",1)="#",IF(ISNUMBER(C7),AND(ISNUMBER(B7),ABS(C7-B7)&lt;=0.000001*MAX(1,ABS(B7))),EXACT(C7&amp;"",B7&amp;"")))</f>
      </c>
      <c r="E7">
        <f>ISERROR(C7)</f>
      </c>
    </row>
    <row r="8">
      <c r="A8" t="str">
        <v>E8</v>
      </c>
      <c r="B8">
        <v>4</v>
      </c>
      <c r="C8">
        <f>'ly12hn'!E8</f>
      </c>
      <c r="D8">
        <f>IF(ISERROR(C8),LEFT(B8&amp;"",1)="#",IF(ISNUMBER(C8),AND(ISNUMBER(B8),ABS(C8-B8)&lt;=0.000001*MAX(1,ABS(B8))),EXACT(C8&amp;"",B8&amp;"")))</f>
      </c>
      <c r="E8">
        <f>ISERROR(C8)</f>
      </c>
    </row>
    <row r="9">
      <c r="A9" t="str">
        <v>E9</v>
      </c>
      <c r="B9">
        <v>2.9</v>
      </c>
      <c r="C9">
        <f>'ly12hn'!E9</f>
      </c>
      <c r="D9">
        <f>IF(ISERROR(C9),LEFT(B9&amp;"",1)="#",IF(ISNUMBER(C9),AND(ISNUMBER(B9),ABS(C9-B9)&lt;=0.000001*MAX(1,ABS(B9))),EXACT(C9&amp;"",B9&amp;"")))</f>
      </c>
      <c r="E9">
        <f>ISERROR(C9)</f>
      </c>
    </row>
    <row r="10">
      <c r="A10" t="str">
        <v>E10</v>
      </c>
      <c r="B10">
        <v>4.25</v>
      </c>
      <c r="C10">
        <f>'ly12hn'!E10</f>
      </c>
      <c r="D10">
        <f>IF(ISERROR(C10),LEFT(B10&amp;"",1)="#",IF(ISNUMBER(C10),AND(ISNUMBER(B10),ABS(C10-B10)&lt;=0.000001*MAX(1,ABS(B10))),EXACT(C10&amp;"",B10&amp;"")))</f>
      </c>
      <c r="E10">
        <f>ISERROR(C10)</f>
      </c>
    </row>
    <row r="11">
      <c r="A11" t="str">
        <v>E11</v>
      </c>
      <c r="B11">
        <v>9.75</v>
      </c>
      <c r="C11">
        <f>'ly12hn'!E11</f>
      </c>
      <c r="D11">
        <f>IF(ISERROR(C11),LEFT(B11&amp;"",1)="#",IF(ISNUMBER(C11),AND(ISNUMBER(B11),ABS(C11-B11)&lt;=0.000001*MAX(1,ABS(B11))),EXACT(C11&amp;"",B11&amp;"")))</f>
      </c>
      <c r="E11">
        <f>ISERROR(C11)</f>
      </c>
    </row>
    <row r="12">
      <c r="A12" t="str">
        <v>E12</v>
      </c>
      <c r="B12">
        <v>3.8</v>
      </c>
      <c r="C12">
        <f>'ly12hn'!E12</f>
      </c>
      <c r="D12">
        <f>IF(ISERROR(C12),LEFT(B12&amp;"",1)="#",IF(ISNUMBER(C12),AND(ISNUMBER(B12),ABS(C12-B12)&lt;=0.000001*MAX(1,ABS(B12))),EXACT(C12&amp;"",B12&amp;"")))</f>
      </c>
      <c r="E12">
        <f>ISERROR(C12)</f>
      </c>
    </row>
    <row r="13">
      <c r="A13" t="str">
        <v>E13</v>
      </c>
      <c r="B13">
        <v>6.4</v>
      </c>
      <c r="C13">
        <f>'ly12hn'!E13</f>
      </c>
      <c r="D13">
        <f>IF(ISERROR(C13),LEFT(B13&amp;"",1)="#",IF(ISNUMBER(C13),AND(ISNUMBER(B13),ABS(C13-B13)&lt;=0.000001*MAX(1,ABS(B13))),EXACT(C13&amp;"",B13&amp;"")))</f>
      </c>
      <c r="E13">
        <f>ISERROR(C13)</f>
      </c>
    </row>
    <row r="14">
      <c r="A14" t="str">
        <v>F2</v>
      </c>
      <c r="B14">
        <v>0.7579</v>
      </c>
      <c r="C14">
        <f>'ly12hn'!F2</f>
      </c>
      <c r="D14">
        <f>IF(ISERROR(C14),LEFT(B14&amp;"",1)="#",IF(ISNUMBER(C14),AND(ISNUMBER(B14),ABS(C14-B14)&lt;=0.000001*MAX(1,ABS(B14))),EXACT(C14&amp;"",B14&amp;"")))</f>
      </c>
      <c r="E14">
        <f>ISERROR(C14)</f>
      </c>
    </row>
    <row r="15">
      <c r="A15" t="str">
        <v>F3</v>
      </c>
      <c r="B15">
        <v>0.0002</v>
      </c>
      <c r="C15">
        <f>'ly12hn'!F3</f>
      </c>
      <c r="D15">
        <f>IF(ISERROR(C15),LEFT(B15&amp;"",1)="#",IF(ISNUMBER(C15),AND(ISNUMBER(B15),ABS(C15-B15)&lt;=0.000001*MAX(1,ABS(B15))),EXACT(C15&amp;"",B15&amp;"")))</f>
      </c>
      <c r="E15">
        <f>ISERROR(C15)</f>
      </c>
    </row>
    <row r="16">
      <c r="A16" t="str">
        <v>F4</v>
      </c>
      <c r="B16">
        <v>0.6156</v>
      </c>
      <c r="C16">
        <f>'ly12hn'!F4</f>
      </c>
      <c r="D16">
        <f>IF(ISERROR(C16),LEFT(B16&amp;"",1)="#",IF(ISNUMBER(C16),AND(ISNUMBER(B16),ABS(C16-B16)&lt;=0.000001*MAX(1,ABS(B16))),EXACT(C16&amp;"",B16&amp;"")))</f>
      </c>
      <c r="E16">
        <f>ISERROR(C16)</f>
      </c>
    </row>
    <row r="17">
      <c r="A17" t="str">
        <v>F5</v>
      </c>
      <c r="B17">
        <v>0.5</v>
      </c>
      <c r="C17">
        <f>'ly12hn'!F5</f>
      </c>
      <c r="D17">
        <f>IF(ISERROR(C17),LEFT(B17&amp;"",1)="#",IF(ISNUMBER(C17),AND(ISNUMBER(B17),ABS(C17-B17)&lt;=0.000001*MAX(1,ABS(B17))),EXACT(C17&amp;"",B17&amp;"")))</f>
      </c>
      <c r="E17">
        <f>ISERROR(C17)</f>
      </c>
    </row>
    <row r="18">
      <c r="A18" t="str">
        <v>F6</v>
      </c>
      <c r="B18">
        <v>0.1768</v>
      </c>
      <c r="C18">
        <f>'ly12hn'!F6</f>
      </c>
      <c r="D18">
        <f>IF(ISERROR(C18),LEFT(B18&amp;"",1)="#",IF(ISNUMBER(C18),AND(ISNUMBER(B18),ABS(C18-B18)&lt;=0.000001*MAX(1,ABS(B18))),EXACT(C18&amp;"",B18&amp;"")))</f>
      </c>
      <c r="E18">
        <f>ISERROR(C18)</f>
      </c>
    </row>
    <row r="19">
      <c r="A19" t="str">
        <v>F7</v>
      </c>
      <c r="B19">
        <v>0.002</v>
      </c>
      <c r="C19">
        <f>'ly12hn'!F7</f>
      </c>
      <c r="D19">
        <f>IF(ISERROR(C19),LEFT(B19&amp;"",1)="#",IF(ISNUMBER(C19),AND(ISNUMBER(B19),ABS(C19-B19)&lt;=0.000001*MAX(1,ABS(B19))),EXACT(C19&amp;"",B19&amp;"")))</f>
      </c>
      <c r="E19">
        <f>ISERROR(C19)</f>
      </c>
    </row>
    <row r="20">
      <c r="A20" t="str">
        <v>F8</v>
      </c>
      <c r="B20">
        <v>0.0625</v>
      </c>
      <c r="C20">
        <f>'ly12hn'!F8</f>
      </c>
      <c r="D20">
        <f>IF(ISERROR(C20),LEFT(B20&amp;"",1)="#",IF(ISNUMBER(C20),AND(ISNUMBER(B20),ABS(C20-B20)&lt;=0.000001*MAX(1,ABS(B20))),EXACT(C20&amp;"",B20&amp;"")))</f>
      </c>
      <c r="E20">
        <f>ISERROR(C20)</f>
      </c>
    </row>
    <row r="21">
      <c r="A21" t="str">
        <v>F9</v>
      </c>
      <c r="B21">
        <v>0.134</v>
      </c>
      <c r="C21">
        <f>'ly12hn'!F9</f>
      </c>
      <c r="D21">
        <f>IF(ISERROR(C21),LEFT(B21&amp;"",1)="#",IF(ISNUMBER(C21),AND(ISNUMBER(B21),ABS(C21-B21)&lt;=0.000001*MAX(1,ABS(B21))),EXACT(C21&amp;"",B21&amp;"")))</f>
      </c>
      <c r="E21">
        <f>ISERROR(C21)</f>
      </c>
    </row>
    <row r="22">
      <c r="A22" t="str">
        <v>F10</v>
      </c>
      <c r="B22">
        <v>0.0526</v>
      </c>
      <c r="C22">
        <f>'ly12hn'!F10</f>
      </c>
      <c r="D22">
        <f>IF(ISERROR(C22),LEFT(B22&amp;"",1)="#",IF(ISNUMBER(C22),AND(ISNUMBER(B22),ABS(C22-B22)&lt;=0.000001*MAX(1,ABS(B22))),EXACT(C22&amp;"",B22&amp;"")))</f>
      </c>
      <c r="E22">
        <f>ISERROR(C22)</f>
      </c>
    </row>
    <row r="23">
      <c r="A23" t="str">
        <v>F11</v>
      </c>
      <c r="B23">
        <v>0.0012</v>
      </c>
      <c r="C23">
        <f>'ly12hn'!F11</f>
      </c>
      <c r="D23">
        <f>IF(ISERROR(C23),LEFT(B23&amp;"",1)="#",IF(ISNUMBER(C23),AND(ISNUMBER(B23),ABS(C23-B23)&lt;=0.000001*MAX(1,ABS(B23))),EXACT(C23&amp;"",B23&amp;"")))</f>
      </c>
      <c r="E23">
        <f>ISERROR(C23)</f>
      </c>
    </row>
    <row r="24">
      <c r="A24" t="str">
        <v>F12</v>
      </c>
      <c r="B24">
        <v>0.0718</v>
      </c>
      <c r="C24">
        <f>'ly12hn'!F12</f>
      </c>
      <c r="D24">
        <f>IF(ISERROR(C24),LEFT(B24&amp;"",1)="#",IF(ISNUMBER(C24),AND(ISNUMBER(B24),ABS(C24-B24)&lt;=0.000001*MAX(1,ABS(B24))),EXACT(C24&amp;"",B24&amp;"")))</f>
      </c>
      <c r="E24">
        <f>ISERROR(C24)</f>
      </c>
    </row>
    <row r="25">
      <c r="A25" t="str">
        <v>F13</v>
      </c>
      <c r="B25">
        <v>0.0118</v>
      </c>
      <c r="C25">
        <f>'ly12hn'!F13</f>
      </c>
      <c r="D25">
        <f>IF(ISERROR(C25),LEFT(B25&amp;"",1)="#",IF(ISNUMBER(C25),AND(ISNUMBER(B25),ABS(C25-B25)&lt;=0.000001*MAX(1,ABS(B25))),EXACT(C25&amp;"",B25&amp;"")))</f>
      </c>
      <c r="E25">
        <f>ISERROR(C25)</f>
      </c>
    </row>
    <row r="26">
      <c r="A26" t="str">
        <v>G2</v>
      </c>
      <c r="B26">
        <v>75.7858</v>
      </c>
      <c r="C26">
        <f>'ly12hn'!G2</f>
      </c>
      <c r="D26">
        <f>IF(ISERROR(C26),LEFT(B26&amp;"",1)="#",IF(ISNUMBER(C26),AND(ISNUMBER(B26),ABS(C26-B26)&lt;=0.000001*MAX(1,ABS(B26))),EXACT(C26&amp;"",B26&amp;"")))</f>
      </c>
      <c r="E26">
        <f>ISERROR(C26)</f>
      </c>
    </row>
    <row r="27">
      <c r="A27" t="str">
        <v>G3</v>
      </c>
      <c r="B27">
        <v>0.0098</v>
      </c>
      <c r="C27">
        <f>'ly12hn'!G3</f>
      </c>
      <c r="D27">
        <f>IF(ISERROR(C27),LEFT(B27&amp;"",1)="#",IF(ISNUMBER(C27),AND(ISNUMBER(B27),ABS(C27-B27)&lt;=0.000001*MAX(1,ABS(B27))),EXACT(C27&amp;"",B27&amp;"")))</f>
      </c>
      <c r="E27">
        <f>ISERROR(C27)</f>
      </c>
    </row>
    <row r="28">
      <c r="A28" t="str">
        <v>G4</v>
      </c>
      <c r="B28">
        <v>6.1557</v>
      </c>
      <c r="C28">
        <f>'ly12hn'!G4</f>
      </c>
      <c r="D28">
        <f>IF(ISERROR(C28),LEFT(B28&amp;"",1)="#",IF(ISNUMBER(C28),AND(ISNUMBER(B28),ABS(C28-B28)&lt;=0.000001*MAX(1,ABS(B28))),EXACT(C28&amp;"",B28&amp;"")))</f>
      </c>
      <c r="E28">
        <f>ISERROR(C28)</f>
      </c>
    </row>
    <row r="29">
      <c r="A29" t="str">
        <v>G5</v>
      </c>
      <c r="B29">
        <v>5</v>
      </c>
      <c r="C29">
        <f>'ly12hn'!G5</f>
      </c>
      <c r="D29">
        <f>IF(ISERROR(C29),LEFT(B29&amp;"",1)="#",IF(ISNUMBER(C29),AND(ISNUMBER(B29),ABS(C29-B29)&lt;=0.000001*MAX(1,ABS(B29))),EXACT(C29&amp;"",B29&amp;"")))</f>
      </c>
      <c r="E29">
        <f>ISERROR(C29)</f>
      </c>
    </row>
    <row r="30">
      <c r="A30" t="str">
        <v>G6</v>
      </c>
      <c r="B30">
        <v>3.5355</v>
      </c>
      <c r="C30">
        <f>'ly12hn'!G6</f>
      </c>
      <c r="D30">
        <f>IF(ISERROR(C30),LEFT(B30&amp;"",1)="#",IF(ISNUMBER(C30),AND(ISNUMBER(B30),ABS(C30-B30)&lt;=0.000001*MAX(1,ABS(B30))),EXACT(C30&amp;"",B30&amp;"")))</f>
      </c>
      <c r="E30">
        <f>ISERROR(C30)</f>
      </c>
    </row>
    <row r="31">
      <c r="A31" t="str">
        <v>G7</v>
      </c>
      <c r="B31">
        <v>0.1953</v>
      </c>
      <c r="C31">
        <f>'ly12hn'!G7</f>
      </c>
      <c r="D31">
        <f>IF(ISERROR(C31),LEFT(B31&amp;"",1)="#",IF(ISNUMBER(C31),AND(ISNUMBER(B31),ABS(C31-B31)&lt;=0.000001*MAX(1,ABS(B31))),EXACT(C31&amp;"",B31&amp;"")))</f>
      </c>
      <c r="E31">
        <f>ISERROR(C31)</f>
      </c>
    </row>
    <row r="32">
      <c r="A32" t="str">
        <v>G8</v>
      </c>
      <c r="B32">
        <v>1.25</v>
      </c>
      <c r="C32">
        <f>'ly12hn'!G8</f>
      </c>
      <c r="D32">
        <f>IF(ISERROR(C32),LEFT(B32&amp;"",1)="#",IF(ISNUMBER(C32),AND(ISNUMBER(B32),ABS(C32-B32)&lt;=0.000001*MAX(1,ABS(B32))),EXACT(C32&amp;"",B32&amp;"")))</f>
      </c>
      <c r="E32">
        <f>ISERROR(C32)</f>
      </c>
    </row>
    <row r="33">
      <c r="A33" t="str">
        <v>G9</v>
      </c>
      <c r="B33">
        <v>13.3972</v>
      </c>
      <c r="C33">
        <f>'ly12hn'!G9</f>
      </c>
      <c r="D33">
        <f>IF(ISERROR(C33),LEFT(B33&amp;"",1)="#",IF(ISNUMBER(C33),AND(ISNUMBER(B33),ABS(C33-B33)&lt;=0.000001*MAX(1,ABS(B33))),EXACT(C33&amp;"",B33&amp;"")))</f>
      </c>
      <c r="E33">
        <f>ISERROR(C33)</f>
      </c>
    </row>
    <row r="34">
      <c r="A34" t="str">
        <v>G10</v>
      </c>
      <c r="B34">
        <v>1.0511</v>
      </c>
      <c r="C34">
        <f>'ly12hn'!G10</f>
      </c>
      <c r="D34">
        <f>IF(ISERROR(C34),LEFT(B34&amp;"",1)="#",IF(ISNUMBER(C34),AND(ISNUMBER(B34),ABS(C34-B34)&lt;=0.000001*MAX(1,ABS(B34))),EXACT(C34&amp;"",B34&amp;"")))</f>
      </c>
      <c r="E34">
        <f>ISERROR(C34)</f>
      </c>
    </row>
    <row r="35">
      <c r="A35" t="str">
        <v>G11</v>
      </c>
      <c r="B35">
        <v>0.2323</v>
      </c>
      <c r="C35">
        <f>'ly12hn'!G11</f>
      </c>
      <c r="D35">
        <f>IF(ISERROR(C35),LEFT(B35&amp;"",1)="#",IF(ISNUMBER(C35),AND(ISNUMBER(B35),ABS(C35-B35)&lt;=0.000001*MAX(1,ABS(B35))),EXACT(C35&amp;"",B35&amp;"")))</f>
      </c>
      <c r="E35">
        <f>ISERROR(C35)</f>
      </c>
    </row>
    <row r="36">
      <c r="A36" t="str">
        <v>G12</v>
      </c>
      <c r="B36">
        <v>14.3587</v>
      </c>
      <c r="C36">
        <f>'ly12hn'!G12</f>
      </c>
      <c r="D36">
        <f>IF(ISERROR(C36),LEFT(B36&amp;"",1)="#",IF(ISNUMBER(C36),AND(ISNUMBER(B36),ABS(C36-B36)&lt;=0.000001*MAX(1,ABS(B36))),EXACT(C36&amp;"",B36&amp;"")))</f>
      </c>
      <c r="E36">
        <f>ISERROR(C36)</f>
      </c>
    </row>
    <row r="37">
      <c r="A37" t="str">
        <v>G13</v>
      </c>
      <c r="B37">
        <v>0.2368</v>
      </c>
      <c r="C37">
        <f>'ly12hn'!G13</f>
      </c>
      <c r="D37">
        <f>IF(ISERROR(C37),LEFT(B37&amp;"",1)="#",IF(ISNUMBER(C37),AND(ISNUMBER(B37),ABS(C37-B37)&lt;=0.000001*MAX(1,ABS(B37))),EXACT(C37&amp;"",B37&amp;"")))</f>
      </c>
      <c r="E37">
        <f>ISERROR(C37)</f>
      </c>
    </row>
    <row r="38">
      <c r="A38" t="str">
        <v>H2</v>
      </c>
      <c r="B38">
        <v>24.2142</v>
      </c>
      <c r="C38">
        <f>'ly12hn'!H2</f>
      </c>
      <c r="D38">
        <f>IF(ISERROR(C38),LEFT(B38&amp;"",1)="#",IF(ISNUMBER(C38),AND(ISNUMBER(B38),ABS(C38-B38)&lt;=0.000001*MAX(1,ABS(B38))),EXACT(C38&amp;"",B38&amp;"")))</f>
      </c>
      <c r="E38">
        <f>ISERROR(C38)</f>
      </c>
    </row>
    <row r="39">
      <c r="A39" t="str">
        <v>H3</v>
      </c>
      <c r="B39">
        <v>39.9902</v>
      </c>
      <c r="C39">
        <f>'ly12hn'!H3</f>
      </c>
      <c r="D39">
        <f>IF(ISERROR(C39),LEFT(B39&amp;"",1)="#",IF(ISNUMBER(C39),AND(ISNUMBER(B39),ABS(C39-B39)&lt;=0.000001*MAX(1,ABS(B39))),EXACT(C39&amp;"",B39&amp;"")))</f>
      </c>
      <c r="E39">
        <f>ISERROR(C39)</f>
      </c>
    </row>
    <row r="40">
      <c r="A40" t="str">
        <v>H4</v>
      </c>
      <c r="B40">
        <v>3.8443</v>
      </c>
      <c r="C40">
        <f>'ly12hn'!H4</f>
      </c>
      <c r="D40">
        <f>IF(ISERROR(C40),LEFT(B40&amp;"",1)="#",IF(ISNUMBER(C40),AND(ISNUMBER(B40),ABS(C40-B40)&lt;=0.000001*MAX(1,ABS(B40))),EXACT(C40&amp;"",B40&amp;"")))</f>
      </c>
      <c r="E40">
        <f>ISERROR(C40)</f>
      </c>
    </row>
    <row r="41">
      <c r="A41" t="str">
        <v>H5</v>
      </c>
      <c r="B41">
        <v>5</v>
      </c>
      <c r="C41">
        <f>'ly12hn'!H5</f>
      </c>
      <c r="D41">
        <f>IF(ISERROR(C41),LEFT(B41&amp;"",1)="#",IF(ISNUMBER(C41),AND(ISNUMBER(B41),ABS(C41-B41)&lt;=0.000001*MAX(1,ABS(B41))),EXACT(C41&amp;"",B41&amp;"")))</f>
      </c>
      <c r="E41">
        <f>ISERROR(C41)</f>
      </c>
    </row>
    <row r="42">
      <c r="A42" t="str">
        <v>H6</v>
      </c>
      <c r="B42">
        <v>16.4645</v>
      </c>
      <c r="C42">
        <f>'ly12hn'!H6</f>
      </c>
      <c r="D42">
        <f>IF(ISERROR(C42),LEFT(B42&amp;"",1)="#",IF(ISNUMBER(C42),AND(ISNUMBER(B42),ABS(C42-B42)&lt;=0.000001*MAX(1,ABS(B42))),EXACT(C42&amp;"",B42&amp;"")))</f>
      </c>
      <c r="E42">
        <f>ISERROR(C42)</f>
      </c>
    </row>
    <row r="43">
      <c r="A43" t="str">
        <v>H7</v>
      </c>
      <c r="B43">
        <v>99.8047</v>
      </c>
      <c r="C43">
        <f>'ly12hn'!H7</f>
      </c>
      <c r="D43">
        <f>IF(ISERROR(C43),LEFT(B43&amp;"",1)="#",IF(ISNUMBER(C43),AND(ISNUMBER(B43),ABS(C43-B43)&lt;=0.000001*MAX(1,ABS(B43))),EXACT(C43&amp;"",B43&amp;"")))</f>
      </c>
      <c r="E43">
        <f>ISERROR(C43)</f>
      </c>
    </row>
    <row r="44">
      <c r="A44" t="str">
        <v>H8</v>
      </c>
      <c r="B44">
        <v>18.75</v>
      </c>
      <c r="C44">
        <f>'ly12hn'!H8</f>
      </c>
      <c r="D44">
        <f>IF(ISERROR(C44),LEFT(B44&amp;"",1)="#",IF(ISNUMBER(C44),AND(ISNUMBER(B44),ABS(C44-B44)&lt;=0.000001*MAX(1,ABS(B44))),EXACT(C44&amp;"",B44&amp;"")))</f>
      </c>
      <c r="E44">
        <f>ISERROR(C44)</f>
      </c>
    </row>
    <row r="45">
      <c r="A45" t="str">
        <v>H9</v>
      </c>
      <c r="B45">
        <v>86.6028</v>
      </c>
      <c r="C45">
        <f>'ly12hn'!H9</f>
      </c>
      <c r="D45">
        <f>IF(ISERROR(C45),LEFT(B45&amp;"",1)="#",IF(ISNUMBER(C45),AND(ISNUMBER(B45),ABS(C45-B45)&lt;=0.000001*MAX(1,ABS(B45))),EXACT(C45&amp;"",B45&amp;"")))</f>
      </c>
      <c r="E45">
        <f>ISERROR(C45)</f>
      </c>
    </row>
    <row r="46">
      <c r="A46" t="str">
        <v>H10</v>
      </c>
      <c r="B46">
        <v>18.9489</v>
      </c>
      <c r="C46">
        <f>'ly12hn'!H10</f>
      </c>
      <c r="D46">
        <f>IF(ISERROR(C46),LEFT(B46&amp;"",1)="#",IF(ISNUMBER(C46),AND(ISNUMBER(B46),ABS(C46-B46)&lt;=0.000001*MAX(1,ABS(B46))),EXACT(C46&amp;"",B46&amp;"")))</f>
      </c>
      <c r="E46">
        <f>ISERROR(C46)</f>
      </c>
    </row>
    <row r="47">
      <c r="A47" t="str">
        <v>H11</v>
      </c>
      <c r="B47">
        <v>199.7677</v>
      </c>
      <c r="C47">
        <f>'ly12hn'!H11</f>
      </c>
      <c r="D47">
        <f>IF(ISERROR(C47),LEFT(B47&amp;"",1)="#",IF(ISNUMBER(C47),AND(ISNUMBER(B47),ABS(C47-B47)&lt;=0.000001*MAX(1,ABS(B47))),EXACT(C47&amp;"",B47&amp;"")))</f>
      </c>
      <c r="E47">
        <f>ISERROR(C47)</f>
      </c>
    </row>
    <row r="48">
      <c r="A48" t="str">
        <v>H12</v>
      </c>
      <c r="B48">
        <v>185.6413</v>
      </c>
      <c r="C48">
        <f>'ly12hn'!H12</f>
      </c>
      <c r="D48">
        <f>IF(ISERROR(C48),LEFT(B48&amp;"",1)="#",IF(ISNUMBER(C48),AND(ISNUMBER(B48),ABS(C48-B48)&lt;=0.000001*MAX(1,ABS(B48))),EXACT(C48&amp;"",B48&amp;"")))</f>
      </c>
      <c r="E48">
        <f>ISERROR(C48)</f>
      </c>
    </row>
    <row r="49">
      <c r="A49" t="str">
        <v>H13</v>
      </c>
      <c r="B49">
        <v>19.7632</v>
      </c>
      <c r="C49">
        <f>'ly12hn'!H13</f>
      </c>
      <c r="D49">
        <f>IF(ISERROR(C49),LEFT(B49&amp;"",1)="#",IF(ISNUMBER(C49),AND(ISNUMBER(B49),ABS(C49-B49)&lt;=0.000001*MAX(1,ABS(B49))),EXACT(C49&amp;"",B49&amp;"")))</f>
      </c>
      <c r="E49">
        <f>ISERROR(C49)</f>
      </c>
    </row>
    <row r="50">
      <c r="A50" t="str">
        <v>I2</v>
      </c>
      <c r="B50" t="str">
        <v>CON NHIEU</v>
      </c>
      <c r="C50">
        <f>'ly12hn'!I2</f>
      </c>
      <c r="D50">
        <f>IF(ISERROR(C50),LEFT(B50&amp;"",1)="#",IF(ISNUMBER(C50),AND(ISNUMBER(B50),ABS(C50-B50)&lt;=0.000001*MAX(1,ABS(B50))),EXACT(C50&amp;"",B50&amp;"")))</f>
      </c>
      <c r="E50">
        <f>ISERROR(C50)</f>
      </c>
    </row>
    <row r="51">
      <c r="A51" t="str">
        <v>I3</v>
      </c>
      <c r="B51" t="str">
        <v>CON IT</v>
      </c>
      <c r="C51">
        <f>'ly12hn'!I3</f>
      </c>
      <c r="D51">
        <f>IF(ISERROR(C51),LEFT(B51&amp;"",1)="#",IF(ISNUMBER(C51),AND(ISNUMBER(B51),ABS(C51-B51)&lt;=0.000001*MAX(1,ABS(B51))),EXACT(C51&amp;"",B51&amp;"")))</f>
      </c>
      <c r="E51">
        <f>ISERROR(C51)</f>
      </c>
    </row>
    <row r="52">
      <c r="A52" t="str">
        <v>I4</v>
      </c>
      <c r="B52" t="str">
        <v>CON NHIEU</v>
      </c>
      <c r="C52">
        <f>'ly12hn'!I4</f>
      </c>
      <c r="D52">
        <f>IF(ISERROR(C52),LEFT(B52&amp;"",1)="#",IF(ISNUMBER(C52),AND(ISNUMBER(B52),ABS(C52-B52)&lt;=0.000001*MAX(1,ABS(B52))),EXACT(C52&amp;"",B52&amp;"")))</f>
      </c>
      <c r="E52">
        <f>ISERROR(C52)</f>
      </c>
    </row>
    <row r="53">
      <c r="A53" t="str">
        <v>I5</v>
      </c>
      <c r="B53" t="str">
        <v>CON NHIEU</v>
      </c>
      <c r="C53">
        <f>'ly12hn'!I5</f>
      </c>
      <c r="D53">
        <f>IF(ISERROR(C53),LEFT(B53&amp;"",1)="#",IF(ISNUMBER(C53),AND(ISNUMBER(B53),ABS(C53-B53)&lt;=0.000001*MAX(1,ABS(B53))),EXACT(C53&amp;"",B53&amp;"")))</f>
      </c>
      <c r="E53">
        <f>ISERROR(C53)</f>
      </c>
    </row>
    <row r="54">
      <c r="A54" t="str">
        <v>I6</v>
      </c>
      <c r="B54" t="str">
        <v>CON IT</v>
      </c>
      <c r="C54">
        <f>'ly12hn'!I6</f>
      </c>
      <c r="D54">
        <f>IF(ISERROR(C54),LEFT(B54&amp;"",1)="#",IF(ISNUMBER(C54),AND(ISNUMBER(B54),ABS(C54-B54)&lt;=0.000001*MAX(1,ABS(B54))),EXACT(C54&amp;"",B54&amp;"")))</f>
      </c>
      <c r="E54">
        <f>ISERROR(C54)</f>
      </c>
    </row>
    <row r="55">
      <c r="A55" t="str">
        <v>I7</v>
      </c>
      <c r="B55" t="str">
        <v>CON IT</v>
      </c>
      <c r="C55">
        <f>'ly12hn'!I7</f>
      </c>
      <c r="D55">
        <f>IF(ISERROR(C55),LEFT(B55&amp;"",1)="#",IF(ISNUMBER(C55),AND(ISNUMBER(B55),ABS(C55-B55)&lt;=0.000001*MAX(1,ABS(B55))),EXACT(C55&amp;"",B55&amp;"")))</f>
      </c>
      <c r="E55">
        <f>ISERROR(C55)</f>
      </c>
    </row>
    <row r="56">
      <c r="A56" t="str">
        <v>I8</v>
      </c>
      <c r="B56" t="str">
        <v>CON IT</v>
      </c>
      <c r="C56">
        <f>'ly12hn'!I8</f>
      </c>
      <c r="D56">
        <f>IF(ISERROR(C56),LEFT(B56&amp;"",1)="#",IF(ISNUMBER(C56),AND(ISNUMBER(B56),ABS(C56-B56)&lt;=0.000001*MAX(1,ABS(B56))),EXACT(C56&amp;"",B56&amp;"")))</f>
      </c>
      <c r="E56">
        <f>ISERROR(C56)</f>
      </c>
    </row>
    <row r="57">
      <c r="A57" t="str">
        <v>I9</v>
      </c>
      <c r="B57" t="str">
        <v>CON IT</v>
      </c>
      <c r="C57">
        <f>'ly12hn'!I9</f>
      </c>
      <c r="D57">
        <f>IF(ISERROR(C57),LEFT(B57&amp;"",1)="#",IF(ISNUMBER(C57),AND(ISNUMBER(B57),ABS(C57-B57)&lt;=0.000001*MAX(1,ABS(B57))),EXACT(C57&amp;"",B57&amp;"")))</f>
      </c>
      <c r="E57">
        <f>ISERROR(C57)</f>
      </c>
    </row>
    <row r="58">
      <c r="A58" t="str">
        <v>I10</v>
      </c>
      <c r="B58" t="str">
        <v>CON IT</v>
      </c>
      <c r="C58">
        <f>'ly12hn'!I10</f>
      </c>
      <c r="D58">
        <f>IF(ISERROR(C58),LEFT(B58&amp;"",1)="#",IF(ISNUMBER(C58),AND(ISNUMBER(B58),ABS(C58-B58)&lt;=0.000001*MAX(1,ABS(B58))),EXACT(C58&amp;"",B58&amp;"")))</f>
      </c>
      <c r="E58">
        <f>ISERROR(C58)</f>
      </c>
    </row>
    <row r="59">
      <c r="A59" t="str">
        <v>I11</v>
      </c>
      <c r="B59" t="str">
        <v>CON IT</v>
      </c>
      <c r="C59">
        <f>'ly12hn'!I11</f>
      </c>
      <c r="D59">
        <f>IF(ISERROR(C59),LEFT(B59&amp;"",1)="#",IF(ISNUMBER(C59),AND(ISNUMBER(B59),ABS(C59-B59)&lt;=0.000001*MAX(1,ABS(B59))),EXACT(C59&amp;"",B59&amp;"")))</f>
      </c>
      <c r="E59">
        <f>ISERROR(C59)</f>
      </c>
    </row>
    <row r="60">
      <c r="A60" t="str">
        <v>I12</v>
      </c>
      <c r="B60" t="str">
        <v>CON IT</v>
      </c>
      <c r="C60">
        <f>'ly12hn'!I12</f>
      </c>
      <c r="D60">
        <f>IF(ISERROR(C60),LEFT(B60&amp;"",1)="#",IF(ISNUMBER(C60),AND(ISNUMBER(B60),ABS(C60-B60)&lt;=0.000001*MAX(1,ABS(B60))),EXACT(C60&amp;"",B60&amp;"")))</f>
      </c>
      <c r="E60">
        <f>ISERROR(C60)</f>
      </c>
    </row>
    <row r="61">
      <c r="A61" t="str">
        <v>I13</v>
      </c>
      <c r="B61" t="str">
        <v>CON IT</v>
      </c>
      <c r="C61">
        <f>'ly12hn'!I13</f>
      </c>
      <c r="D61">
        <f>IF(ISERROR(C61),LEFT(B61&amp;"",1)="#",IF(ISNUMBER(C61),AND(ISNUMBER(B61),ABS(C61-B61)&lt;=0.000001*MAX(1,ABS(B61))),EXACT(C61&amp;"",B61&amp;"")))</f>
      </c>
      <c r="E61">
        <f>ISERROR(C61)</f>
      </c>
    </row>
    <row r="62">
      <c r="A62" t="str">
        <v>Z2</v>
      </c>
      <c r="B62" t="str">
        <v>PX01</v>
      </c>
      <c r="C62">
        <f>'ly12hn'!Z2</f>
      </c>
      <c r="D62">
        <f>IF(ISERROR(C62),LEFT(B62&amp;"",1)="#",IF(ISNUMBER(C62),AND(ISNUMBER(B62),ABS(C62-B62)&lt;=0.000001*MAX(1,ABS(B62))),EXACT(C62&amp;"",B62&amp;"")))</f>
      </c>
      <c r="E62">
        <f>ISERROR(C62)</f>
      </c>
    </row>
    <row r="63">
      <c r="A63" t="str">
        <v>Z3</v>
      </c>
      <c r="B63">
        <v>33.0585</v>
      </c>
      <c r="C63">
        <f>'ly12hn'!Z3</f>
      </c>
      <c r="D63">
        <f>IF(ISERROR(C63),LEFT(B63&amp;"",1)="#",IF(ISNUMBER(C63),AND(ISNUMBER(B63),ABS(C63-B63)&lt;=0.000001*MAX(1,ABS(B63))),EXACT(C63&amp;"",B63&amp;"")))</f>
      </c>
      <c r="E63">
        <f>ISERROR(C63)</f>
      </c>
    </row>
    <row r="64">
      <c r="A64" t="str">
        <v>Z4</v>
      </c>
      <c r="B64">
        <v>5</v>
      </c>
      <c r="C64">
        <f>'ly12hn'!Z4</f>
      </c>
      <c r="D64">
        <f>IF(ISERROR(C64),LEFT(B64&amp;"",1)="#",IF(ISNUMBER(C64),AND(ISNUMBER(B64),ABS(C64-B64)&lt;=0.000001*MAX(1,ABS(B64))),EXACT(C64&amp;"",B64&amp;"")))</f>
      </c>
      <c r="E64">
        <f>ISERROR(C64)</f>
      </c>
    </row>
    <row r="65">
      <c r="A65" t="str">
        <v>Z5</v>
      </c>
      <c r="B65">
        <v>3.807411111111111</v>
      </c>
      <c r="C65">
        <f>'ly12hn'!Z5</f>
      </c>
      <c r="D65">
        <f>IF(ISERROR(C65),LEFT(B65&amp;"",1)="#",IF(ISNUMBER(C65),AND(ISNUMBER(B65),ABS(C65-B65)&lt;=0.000001*MAX(1,ABS(B65))),EXACT(C65&amp;"",B65&amp;"")))</f>
      </c>
      <c r="E65">
        <f>ISERROR(C65)</f>
      </c>
    </row>
    <row r="66">
      <c r="A66" t="str">
        <v>Z6</v>
      </c>
      <c r="B66">
        <v>24.2142</v>
      </c>
      <c r="C66">
        <f>'ly12hn'!Z6</f>
      </c>
      <c r="D66">
        <f>IF(ISERROR(C66),LEFT(B66&amp;"",1)="#",IF(ISNUMBER(C66),AND(ISNUMBER(B66),ABS(C66-B66)&lt;=0.000001*MAX(1,ABS(B66))),EXACT(C66&amp;"",B66&amp;"")))</f>
      </c>
      <c r="E66">
        <f>ISERROR(C66)</f>
      </c>
    </row>
    <row r="67">
      <c r="A67" t="str">
        <v>Z7</v>
      </c>
      <c r="B67">
        <v>2.39275</v>
      </c>
      <c r="C67">
        <f>'ly12hn'!Z7</f>
      </c>
      <c r="D67">
        <f>IF(ISERROR(C67),LEFT(B67&amp;"",1)="#",IF(ISNUMBER(C67),AND(ISNUMBER(B67),ABS(C67-B67)&lt;=0.000001*MAX(1,ABS(B67))),EXACT(C67&amp;"",B67&amp;"")))</f>
      </c>
      <c r="E67">
        <f>ISERROR(C67)</f>
      </c>
    </row>
    <row r="68">
      <c r="A68" t="str">
        <v>Z8</v>
      </c>
      <c r="B68">
        <v>14.3587</v>
      </c>
      <c r="C68">
        <f>'ly12hn'!Z8</f>
      </c>
      <c r="D68">
        <f>IF(ISERROR(C68),LEFT(B68&amp;"",1)="#",IF(ISNUMBER(C68),AND(ISNUMBER(B68),ABS(C68-B68)&lt;=0.000001*MAX(1,ABS(B68))),EXACT(C68&amp;"",B68&amp;"")))</f>
      </c>
      <c r="E68">
        <f>ISERROR(C68)</f>
      </c>
    </row>
    <row r="69">
      <c r="A69" t="str">
        <v>Z9</v>
      </c>
      <c r="B69">
        <v>0.268</v>
      </c>
      <c r="C69">
        <f>'ly12hn'!Z9</f>
      </c>
      <c r="D69">
        <f>IF(ISERROR(C69),LEFT(B69&amp;"",1)="#",IF(ISNUMBER(C69),AND(ISNUMBER(B69),ABS(C69-B69)&lt;=0.000001*MAX(1,ABS(B69))),EXACT(C69&amp;"",B69&amp;"")))</f>
      </c>
      <c r="E69">
        <f>ISERROR(C69)</f>
      </c>
    </row>
    <row r="70">
      <c r="A70" t="str">
        <v>Z10</v>
      </c>
      <c r="B70">
        <v>33.0585</v>
      </c>
      <c r="C70">
        <f>'ly12hn'!Z10</f>
      </c>
      <c r="D70">
        <f>IF(ISERROR(C70),LEFT(B70&amp;"",1)="#",IF(ISNUMBER(C70),AND(ISNUMBER(B70),ABS(C70-B70)&lt;=0.000001*MAX(1,ABS(B70))),EXACT(C70&amp;"",B70&amp;"")))</f>
      </c>
      <c r="E70">
        <f>ISERROR(C70)</f>
      </c>
    </row>
    <row r="71">
      <c r="A71" t="str">
        <v>Z11</v>
      </c>
      <c r="B71">
        <v>3</v>
      </c>
      <c r="C71">
        <f>'ly12hn'!Z11</f>
      </c>
      <c r="D71">
        <f>IF(ISERROR(C71),LEFT(B71&amp;"",1)="#",IF(ISNUMBER(C71),AND(ISNUMBER(B71),ABS(C71-B71)&lt;=0.000001*MAX(1,ABS(B71))),EXACT(C71&amp;"",B71&amp;"")))</f>
      </c>
      <c r="E71">
        <f>ISERROR(C71)</f>
      </c>
    </row>
    <row r="72">
      <c r="A72" t="str">
        <v>Z12</v>
      </c>
      <c r="B72">
        <v>33.0585</v>
      </c>
      <c r="C72">
        <f>'ly12hn'!Z12</f>
      </c>
      <c r="D72">
        <f>IF(ISERROR(C72),LEFT(B72&amp;"",1)="#",IF(ISNUMBER(C72),AND(ISNUMBER(B72),ABS(C72-B72)&lt;=0.000001*MAX(1,ABS(B72))),EXACT(C72&amp;"",B72&amp;"")))</f>
      </c>
      <c r="E72">
        <f>ISERROR(C72)</f>
      </c>
    </row>
    <row r="73">
      <c r="A73" t="str">
        <v>Z13</v>
      </c>
      <c r="B73">
        <v>25750</v>
      </c>
      <c r="C73">
        <f>'ly12hn'!Z13</f>
      </c>
      <c r="D73">
        <f>IF(ISERROR(C73),LEFT(B73&amp;"",1)="#",IF(ISNUMBER(C73),AND(ISNUMBER(B73),ABS(C73-B73)&lt;=0.000001*MAX(1,ABS(B73))),EXACT(C73&amp;"",B73&amp;"")))</f>
      </c>
      <c r="E73">
        <f>ISERROR(C73)</f>
      </c>
    </row>
  </sheetData>
  <ignoredErrors>
    <ignoredError numberStoredAsText="1" sqref="A1:E73"/>
  </ignoredErrors>
</worksheet>
</file>

<file path=xl/worksheets/sheet6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MaMang</v>
      </c>
      <c r="B1" t="str">
        <v>Prefix</v>
      </c>
      <c r="C1" t="str">
        <v>DungLuongGB</v>
      </c>
      <c r="D1" t="str">
        <v>TocDoMbps</v>
      </c>
      <c r="E1" t="str">
        <v>SoHost</v>
      </c>
      <c r="F1" t="str">
        <v>GiayTruyen</v>
      </c>
      <c r="G1" t="str">
        <v>PhutTruyen</v>
      </c>
      <c r="H1" t="str">
        <v>Muc</v>
      </c>
      <c r="W1" t="str">
        <v>Muc</v>
      </c>
      <c r="Y1" t="str">
        <v>TongHop</v>
      </c>
      <c r="Z1" t="str">
        <v>KetQua</v>
      </c>
    </row>
    <row r="2">
      <c r="A2" t="str">
        <v>MG01</v>
      </c>
      <c r="B2">
        <v>26</v>
      </c>
      <c r="C2">
        <v>4</v>
      </c>
      <c r="D2">
        <v>200</v>
      </c>
      <c r="E2">
        <f>POWER(2,32-B2)-2</f>
        <v>62</v>
      </c>
      <c r="F2">
        <f>ROUND(C2*8*1024/D2,1)</f>
        <v>163.8</v>
      </c>
      <c r="G2">
        <f>ROUND(C2*8*1024/D2/60,2)</f>
        <v>2.73</v>
      </c>
      <c r="H2" t="str">
        <f>IF(F2&lt;=60,"NHANH",IF(F2&lt;=600,"VUA","CHAM"))</f>
        <v>VUA</v>
      </c>
      <c r="W2" t="str">
        <v>NHANH</v>
      </c>
      <c r="Y2" t="str">
        <v>Ma MaMang co GiayTruyen lon nhat</v>
      </c>
      <c r="Z2" t="str">
        <f>INDEX(A2:A13,MATCH(MAX(F2:F13),F2:F13,0))</f>
        <v>MG03</v>
      </c>
    </row>
    <row r="3">
      <c r="A3" t="str">
        <v>MG02</v>
      </c>
      <c r="B3">
        <v>22</v>
      </c>
      <c r="C3">
        <v>2</v>
      </c>
      <c r="D3">
        <v>1000</v>
      </c>
      <c r="E3">
        <f>POWER(2,32-B3)-2</f>
        <v>1022</v>
      </c>
      <c r="F3">
        <f>ROUND(C3*8*1024/D3,1)</f>
        <v>16.4</v>
      </c>
      <c r="G3">
        <f>ROUND(C3*8*1024/D3/60,2)</f>
        <v>0.27</v>
      </c>
      <c r="H3" t="str">
        <f>IF(F3&lt;=60,"NHANH",IF(F3&lt;=600,"VUA","CHAM"))</f>
        <v>NHANH</v>
      </c>
      <c r="Y3" t="str">
        <v>Tong SoHost khi Muc = NHANH</v>
      </c>
      <c r="Z3">
        <f>SUMIF(H2:H13,"NHANH",E2:E13)</f>
        <v>1576</v>
      </c>
    </row>
    <row r="4">
      <c r="A4" t="str">
        <v>MG03</v>
      </c>
      <c r="B4">
        <v>22</v>
      </c>
      <c r="C4">
        <v>32</v>
      </c>
      <c r="D4">
        <v>100</v>
      </c>
      <c r="E4">
        <f>POWER(2,32-B4)-2</f>
        <v>1022</v>
      </c>
      <c r="F4">
        <f>ROUND(C4*8*1024/D4,1)</f>
        <v>2621.4</v>
      </c>
      <c r="G4">
        <f>ROUND(C4*8*1024/D4/60,2)</f>
        <v>43.69</v>
      </c>
      <c r="H4" t="str">
        <f>IF(F4&lt;=60,"NHANH",IF(F4&lt;=600,"VUA","CHAM"))</f>
        <v>CHAM</v>
      </c>
      <c r="Y4" t="str">
        <v>So dong Muc = VUA, Prefix &gt;=25</v>
      </c>
      <c r="Z4">
        <f>COUNTIFS(H2:H13,"VUA",B2:B13,"&gt;=25")</f>
        <v>4</v>
      </c>
    </row>
    <row r="5">
      <c r="A5" t="str">
        <v>MG04</v>
      </c>
      <c r="B5">
        <v>27</v>
      </c>
      <c r="C5">
        <v>8</v>
      </c>
      <c r="D5">
        <v>100</v>
      </c>
      <c r="E5">
        <f>POWER(2,32-B5)-2</f>
        <v>30</v>
      </c>
      <c r="F5">
        <f>ROUND(C5*8*1024/D5,1)</f>
        <v>655.4</v>
      </c>
      <c r="G5">
        <f>ROUND(C5*8*1024/D5/60,2)</f>
        <v>10.92</v>
      </c>
      <c r="H5" t="str">
        <f>IF(F5&lt;=60,"NHANH",IF(F5&lt;=600,"VUA","CHAM"))</f>
        <v>CHAM</v>
      </c>
      <c r="Y5" t="str">
        <v>GiayTruyen trung binh khi Muc = CHAM</v>
      </c>
      <c r="Z5">
        <f>AVERAGEIF(H2:H13,"CHAM",F2:F13)</f>
        <v>1529.1666666666667</v>
      </c>
    </row>
    <row r="6">
      <c r="A6" t="str">
        <v>MG05</v>
      </c>
      <c r="B6">
        <v>24</v>
      </c>
      <c r="C6">
        <v>32</v>
      </c>
      <c r="D6">
        <v>500</v>
      </c>
      <c r="E6">
        <f>POWER(2,32-B6)-2</f>
        <v>254</v>
      </c>
      <c r="F6">
        <f>ROUND(C6*8*1024/D6,1)</f>
        <v>524.3</v>
      </c>
      <c r="G6">
        <f>ROUND(C6*8*1024/D6/60,2)</f>
        <v>8.74</v>
      </c>
      <c r="H6" t="str">
        <f>IF(F6&lt;=60,"NHANH",IF(F6&lt;=600,"VUA","CHAM"))</f>
        <v>VUA</v>
      </c>
      <c r="Y6" t="str">
        <v>PhutTruyen lon nhat khi Muc = VUA</v>
      </c>
      <c r="Z6">
        <f>_xlfn.MAXIFS(G2:G13,H2:H13,"VUA")</f>
        <v>8.74</v>
      </c>
    </row>
    <row r="7">
      <c r="A7" t="str">
        <v>MG06</v>
      </c>
      <c r="B7">
        <v>27</v>
      </c>
      <c r="C7">
        <v>2</v>
      </c>
      <c r="D7">
        <v>500</v>
      </c>
      <c r="E7">
        <f>POWER(2,32-B7)-2</f>
        <v>30</v>
      </c>
      <c r="F7">
        <f>ROUND(C7*8*1024/D7,1)</f>
        <v>32.8</v>
      </c>
      <c r="G7">
        <f>ROUND(C7*8*1024/D7/60,2)</f>
        <v>0.55</v>
      </c>
      <c r="H7" t="str">
        <f>IF(F7&lt;=60,"NHANH",IF(F7&lt;=600,"VUA","CHAM"))</f>
        <v>NHANH</v>
      </c>
      <c r="Y7" t="str">
        <v>GiayTruyen trung vi</v>
      </c>
      <c r="Z7">
        <f>MEDIAN(F2:F13)</f>
        <v>147.45</v>
      </c>
    </row>
    <row r="8">
      <c r="A8" t="str">
        <v>MG07</v>
      </c>
      <c r="B8">
        <v>28</v>
      </c>
      <c r="C8">
        <v>2</v>
      </c>
      <c r="D8">
        <v>1000</v>
      </c>
      <c r="E8">
        <f>POWER(2,32-B8)-2</f>
        <v>14</v>
      </c>
      <c r="F8">
        <f>ROUND(C8*8*1024/D8,1)</f>
        <v>16.4</v>
      </c>
      <c r="G8">
        <f>ROUND(C8*8*1024/D8/60,2)</f>
        <v>0.27</v>
      </c>
      <c r="H8" t="str">
        <f>IF(F8&lt;=60,"NHANH",IF(F8&lt;=600,"VUA","CHAM"))</f>
        <v>NHANH</v>
      </c>
      <c r="Y8" t="str">
        <v>GiayTruyen lon thu hai</v>
      </c>
      <c r="Z8">
        <f>LARGE(F2:F13,2)</f>
        <v>1310.7</v>
      </c>
    </row>
    <row r="9">
      <c r="A9" t="str">
        <v>MG08</v>
      </c>
      <c r="B9">
        <v>28</v>
      </c>
      <c r="C9">
        <v>2</v>
      </c>
      <c r="D9">
        <v>200</v>
      </c>
      <c r="E9">
        <f>POWER(2,32-B9)-2</f>
        <v>14</v>
      </c>
      <c r="F9">
        <f>ROUND(C9*8*1024/D9,1)</f>
        <v>81.9</v>
      </c>
      <c r="G9">
        <f>ROUND(C9*8*1024/D9/60,2)</f>
        <v>1.37</v>
      </c>
      <c r="H9" t="str">
        <f>IF(F9&lt;=60,"NHANH",IF(F9&lt;=600,"VUA","CHAM"))</f>
        <v>VUA</v>
      </c>
      <c r="Y9" t="str">
        <v>Do lech chuan GiayTruyen</v>
      </c>
      <c r="Z9">
        <f>ROUND(STDEV(F2:F13),2)</f>
        <v>769.3</v>
      </c>
    </row>
    <row r="10">
      <c r="A10" t="str">
        <v>MG09</v>
      </c>
      <c r="B10">
        <v>24</v>
      </c>
      <c r="C10">
        <v>8</v>
      </c>
      <c r="D10">
        <v>50</v>
      </c>
      <c r="E10">
        <f>POWER(2,32-B10)-2</f>
        <v>254</v>
      </c>
      <c r="F10">
        <f>ROUND(C10*8*1024/D10,1)</f>
        <v>1310.7</v>
      </c>
      <c r="G10">
        <f>ROUND(C10*8*1024/D10/60,2)</f>
        <v>21.85</v>
      </c>
      <c r="H10" t="str">
        <f>IF(F10&lt;=60,"NHANH",IF(F10&lt;=600,"VUA","CHAM"))</f>
        <v>CHAM</v>
      </c>
      <c r="Y10" t="str">
        <v>Tong SoHost theo tieu chi W1:W2</v>
      </c>
      <c r="Z10">
        <f>DSUM(A1:H13,"SoHost",W1:W2)</f>
        <v>1576</v>
      </c>
    </row>
    <row r="11">
      <c r="A11" t="str">
        <v>MG10</v>
      </c>
      <c r="B11">
        <v>23</v>
      </c>
      <c r="C11">
        <v>4</v>
      </c>
      <c r="D11">
        <v>1000</v>
      </c>
      <c r="E11">
        <f>POWER(2,32-B11)-2</f>
        <v>510</v>
      </c>
      <c r="F11">
        <f>ROUND(C11*8*1024/D11,1)</f>
        <v>32.8</v>
      </c>
      <c r="G11">
        <f>ROUND(C11*8*1024/D11/60,2)</f>
        <v>0.55</v>
      </c>
      <c r="H11" t="str">
        <f>IF(F11&lt;=60,"NHANH",IF(F11&lt;=600,"VUA","CHAM"))</f>
        <v>NHANH</v>
      </c>
      <c r="Y11" t="str">
        <v>So dong theo tieu chi W1:W2</v>
      </c>
      <c r="Z11">
        <f>DCOUNT(A1:H13,"SoHost",W1:W2)</f>
        <v>4</v>
      </c>
    </row>
    <row r="12">
      <c r="A12" t="str">
        <v>MG11</v>
      </c>
      <c r="B12">
        <v>28</v>
      </c>
      <c r="C12">
        <v>16</v>
      </c>
      <c r="D12">
        <v>1000</v>
      </c>
      <c r="E12">
        <f>POWER(2,32-B12)-2</f>
        <v>14</v>
      </c>
      <c r="F12">
        <f>ROUND(C12*8*1024/D12,1)</f>
        <v>131.1</v>
      </c>
      <c r="G12">
        <f>ROUND(C12*8*1024/D12/60,2)</f>
        <v>2.18</v>
      </c>
      <c r="H12" t="str">
        <f>IF(F12&lt;=60,"NHANH",IF(F12&lt;=600,"VUA","CHAM"))</f>
        <v>VUA</v>
      </c>
      <c r="Y12" t="str">
        <v>Tong SoHost khi Muc = NHANH (SUMPRODUCT)</v>
      </c>
      <c r="Z12">
        <f>SUMPRODUCT((H2:H13="NHANH")*E2:E13)</f>
        <v>1576</v>
      </c>
    </row>
    <row r="13">
      <c r="A13" t="str">
        <v>MG12</v>
      </c>
      <c r="B13">
        <v>28</v>
      </c>
      <c r="C13">
        <v>32</v>
      </c>
      <c r="D13">
        <v>500</v>
      </c>
      <c r="E13">
        <f>POWER(2,32-B13)-2</f>
        <v>14</v>
      </c>
      <c r="F13">
        <f>ROUND(C13*8*1024/D13,1)</f>
        <v>524.3</v>
      </c>
      <c r="G13">
        <f>ROUND(C13*8*1024/D13/60,2)</f>
        <v>8.74</v>
      </c>
      <c r="H13" t="str">
        <f>IF(F13&lt;=60,"NHANH",IF(F13&lt;=600,"VUA","CHAM"))</f>
        <v>VUA</v>
      </c>
      <c r="Y13" t="str">
        <v>Tong DungLuongGB x TocDoMbps</v>
      </c>
      <c r="Z13">
        <f>SUMPRODUCT(C2:C13,D2:D13)</f>
        <v>62600</v>
      </c>
    </row>
  </sheetData>
  <ignoredErrors>
    <ignoredError numberStoredAsText="1" sqref="A1:Z13"/>
  </ignoredErrors>
</worksheet>
</file>

<file path=xl/worksheets/sheet67.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62</v>
      </c>
      <c r="C2">
        <f>'cntt'!E2</f>
      </c>
      <c r="D2">
        <f>IF(ISERROR(C2),LEFT(B2&amp;"",1)="#",IF(ISNUMBER(C2),AND(ISNUMBER(B2),ABS(C2-B2)&lt;=0.000001*MAX(1,ABS(B2))),EXACT(C2&amp;"",B2&amp;"")))</f>
      </c>
      <c r="E2">
        <f>ISERROR(C2)</f>
      </c>
    </row>
    <row r="3">
      <c r="A3" t="str">
        <v>E3</v>
      </c>
      <c r="B3">
        <v>1022</v>
      </c>
      <c r="C3">
        <f>'cntt'!E3</f>
      </c>
      <c r="D3">
        <f>IF(ISERROR(C3),LEFT(B3&amp;"",1)="#",IF(ISNUMBER(C3),AND(ISNUMBER(B3),ABS(C3-B3)&lt;=0.000001*MAX(1,ABS(B3))),EXACT(C3&amp;"",B3&amp;"")))</f>
      </c>
      <c r="E3">
        <f>ISERROR(C3)</f>
      </c>
    </row>
    <row r="4">
      <c r="A4" t="str">
        <v>E4</v>
      </c>
      <c r="B4">
        <v>1022</v>
      </c>
      <c r="C4">
        <f>'cntt'!E4</f>
      </c>
      <c r="D4">
        <f>IF(ISERROR(C4),LEFT(B4&amp;"",1)="#",IF(ISNUMBER(C4),AND(ISNUMBER(B4),ABS(C4-B4)&lt;=0.000001*MAX(1,ABS(B4))),EXACT(C4&amp;"",B4&amp;"")))</f>
      </c>
      <c r="E4">
        <f>ISERROR(C4)</f>
      </c>
    </row>
    <row r="5">
      <c r="A5" t="str">
        <v>E5</v>
      </c>
      <c r="B5">
        <v>30</v>
      </c>
      <c r="C5">
        <f>'cntt'!E5</f>
      </c>
      <c r="D5">
        <f>IF(ISERROR(C5),LEFT(B5&amp;"",1)="#",IF(ISNUMBER(C5),AND(ISNUMBER(B5),ABS(C5-B5)&lt;=0.000001*MAX(1,ABS(B5))),EXACT(C5&amp;"",B5&amp;"")))</f>
      </c>
      <c r="E5">
        <f>ISERROR(C5)</f>
      </c>
    </row>
    <row r="6">
      <c r="A6" t="str">
        <v>E6</v>
      </c>
      <c r="B6">
        <v>254</v>
      </c>
      <c r="C6">
        <f>'cntt'!E6</f>
      </c>
      <c r="D6">
        <f>IF(ISERROR(C6),LEFT(B6&amp;"",1)="#",IF(ISNUMBER(C6),AND(ISNUMBER(B6),ABS(C6-B6)&lt;=0.000001*MAX(1,ABS(B6))),EXACT(C6&amp;"",B6&amp;"")))</f>
      </c>
      <c r="E6">
        <f>ISERROR(C6)</f>
      </c>
    </row>
    <row r="7">
      <c r="A7" t="str">
        <v>E7</v>
      </c>
      <c r="B7">
        <v>30</v>
      </c>
      <c r="C7">
        <f>'cntt'!E7</f>
      </c>
      <c r="D7">
        <f>IF(ISERROR(C7),LEFT(B7&amp;"",1)="#",IF(ISNUMBER(C7),AND(ISNUMBER(B7),ABS(C7-B7)&lt;=0.000001*MAX(1,ABS(B7))),EXACT(C7&amp;"",B7&amp;"")))</f>
      </c>
      <c r="E7">
        <f>ISERROR(C7)</f>
      </c>
    </row>
    <row r="8">
      <c r="A8" t="str">
        <v>E8</v>
      </c>
      <c r="B8">
        <v>14</v>
      </c>
      <c r="C8">
        <f>'cntt'!E8</f>
      </c>
      <c r="D8">
        <f>IF(ISERROR(C8),LEFT(B8&amp;"",1)="#",IF(ISNUMBER(C8),AND(ISNUMBER(B8),ABS(C8-B8)&lt;=0.000001*MAX(1,ABS(B8))),EXACT(C8&amp;"",B8&amp;"")))</f>
      </c>
      <c r="E8">
        <f>ISERROR(C8)</f>
      </c>
    </row>
    <row r="9">
      <c r="A9" t="str">
        <v>E9</v>
      </c>
      <c r="B9">
        <v>14</v>
      </c>
      <c r="C9">
        <f>'cntt'!E9</f>
      </c>
      <c r="D9">
        <f>IF(ISERROR(C9),LEFT(B9&amp;"",1)="#",IF(ISNUMBER(C9),AND(ISNUMBER(B9),ABS(C9-B9)&lt;=0.000001*MAX(1,ABS(B9))),EXACT(C9&amp;"",B9&amp;"")))</f>
      </c>
      <c r="E9">
        <f>ISERROR(C9)</f>
      </c>
    </row>
    <row r="10">
      <c r="A10" t="str">
        <v>E10</v>
      </c>
      <c r="B10">
        <v>254</v>
      </c>
      <c r="C10">
        <f>'cntt'!E10</f>
      </c>
      <c r="D10">
        <f>IF(ISERROR(C10),LEFT(B10&amp;"",1)="#",IF(ISNUMBER(C10),AND(ISNUMBER(B10),ABS(C10-B10)&lt;=0.000001*MAX(1,ABS(B10))),EXACT(C10&amp;"",B10&amp;"")))</f>
      </c>
      <c r="E10">
        <f>ISERROR(C10)</f>
      </c>
    </row>
    <row r="11">
      <c r="A11" t="str">
        <v>E11</v>
      </c>
      <c r="B11">
        <v>510</v>
      </c>
      <c r="C11">
        <f>'cntt'!E11</f>
      </c>
      <c r="D11">
        <f>IF(ISERROR(C11),LEFT(B11&amp;"",1)="#",IF(ISNUMBER(C11),AND(ISNUMBER(B11),ABS(C11-B11)&lt;=0.000001*MAX(1,ABS(B11))),EXACT(C11&amp;"",B11&amp;"")))</f>
      </c>
      <c r="E11">
        <f>ISERROR(C11)</f>
      </c>
    </row>
    <row r="12">
      <c r="A12" t="str">
        <v>E12</v>
      </c>
      <c r="B12">
        <v>14</v>
      </c>
      <c r="C12">
        <f>'cntt'!E12</f>
      </c>
      <c r="D12">
        <f>IF(ISERROR(C12),LEFT(B12&amp;"",1)="#",IF(ISNUMBER(C12),AND(ISNUMBER(B12),ABS(C12-B12)&lt;=0.000001*MAX(1,ABS(B12))),EXACT(C12&amp;"",B12&amp;"")))</f>
      </c>
      <c r="E12">
        <f>ISERROR(C12)</f>
      </c>
    </row>
    <row r="13">
      <c r="A13" t="str">
        <v>E13</v>
      </c>
      <c r="B13">
        <v>14</v>
      </c>
      <c r="C13">
        <f>'cntt'!E13</f>
      </c>
      <c r="D13">
        <f>IF(ISERROR(C13),LEFT(B13&amp;"",1)="#",IF(ISNUMBER(C13),AND(ISNUMBER(B13),ABS(C13-B13)&lt;=0.000001*MAX(1,ABS(B13))),EXACT(C13&amp;"",B13&amp;"")))</f>
      </c>
      <c r="E13">
        <f>ISERROR(C13)</f>
      </c>
    </row>
    <row r="14">
      <c r="A14" t="str">
        <v>F2</v>
      </c>
      <c r="B14">
        <v>163.8</v>
      </c>
      <c r="C14">
        <f>'cntt'!F2</f>
      </c>
      <c r="D14">
        <f>IF(ISERROR(C14),LEFT(B14&amp;"",1)="#",IF(ISNUMBER(C14),AND(ISNUMBER(B14),ABS(C14-B14)&lt;=0.000001*MAX(1,ABS(B14))),EXACT(C14&amp;"",B14&amp;"")))</f>
      </c>
      <c r="E14">
        <f>ISERROR(C14)</f>
      </c>
    </row>
    <row r="15">
      <c r="A15" t="str">
        <v>F3</v>
      </c>
      <c r="B15">
        <v>16.4</v>
      </c>
      <c r="C15">
        <f>'cntt'!F3</f>
      </c>
      <c r="D15">
        <f>IF(ISERROR(C15),LEFT(B15&amp;"",1)="#",IF(ISNUMBER(C15),AND(ISNUMBER(B15),ABS(C15-B15)&lt;=0.000001*MAX(1,ABS(B15))),EXACT(C15&amp;"",B15&amp;"")))</f>
      </c>
      <c r="E15">
        <f>ISERROR(C15)</f>
      </c>
    </row>
    <row r="16">
      <c r="A16" t="str">
        <v>F4</v>
      </c>
      <c r="B16">
        <v>2621.4</v>
      </c>
      <c r="C16">
        <f>'cntt'!F4</f>
      </c>
      <c r="D16">
        <f>IF(ISERROR(C16),LEFT(B16&amp;"",1)="#",IF(ISNUMBER(C16),AND(ISNUMBER(B16),ABS(C16-B16)&lt;=0.000001*MAX(1,ABS(B16))),EXACT(C16&amp;"",B16&amp;"")))</f>
      </c>
      <c r="E16">
        <f>ISERROR(C16)</f>
      </c>
    </row>
    <row r="17">
      <c r="A17" t="str">
        <v>F5</v>
      </c>
      <c r="B17">
        <v>655.4</v>
      </c>
      <c r="C17">
        <f>'cntt'!F5</f>
      </c>
      <c r="D17">
        <f>IF(ISERROR(C17),LEFT(B17&amp;"",1)="#",IF(ISNUMBER(C17),AND(ISNUMBER(B17),ABS(C17-B17)&lt;=0.000001*MAX(1,ABS(B17))),EXACT(C17&amp;"",B17&amp;"")))</f>
      </c>
      <c r="E17">
        <f>ISERROR(C17)</f>
      </c>
    </row>
    <row r="18">
      <c r="A18" t="str">
        <v>F6</v>
      </c>
      <c r="B18">
        <v>524.3</v>
      </c>
      <c r="C18">
        <f>'cntt'!F6</f>
      </c>
      <c r="D18">
        <f>IF(ISERROR(C18),LEFT(B18&amp;"",1)="#",IF(ISNUMBER(C18),AND(ISNUMBER(B18),ABS(C18-B18)&lt;=0.000001*MAX(1,ABS(B18))),EXACT(C18&amp;"",B18&amp;"")))</f>
      </c>
      <c r="E18">
        <f>ISERROR(C18)</f>
      </c>
    </row>
    <row r="19">
      <c r="A19" t="str">
        <v>F7</v>
      </c>
      <c r="B19">
        <v>32.8</v>
      </c>
      <c r="C19">
        <f>'cntt'!F7</f>
      </c>
      <c r="D19">
        <f>IF(ISERROR(C19),LEFT(B19&amp;"",1)="#",IF(ISNUMBER(C19),AND(ISNUMBER(B19),ABS(C19-B19)&lt;=0.000001*MAX(1,ABS(B19))),EXACT(C19&amp;"",B19&amp;"")))</f>
      </c>
      <c r="E19">
        <f>ISERROR(C19)</f>
      </c>
    </row>
    <row r="20">
      <c r="A20" t="str">
        <v>F8</v>
      </c>
      <c r="B20">
        <v>16.4</v>
      </c>
      <c r="C20">
        <f>'cntt'!F8</f>
      </c>
      <c r="D20">
        <f>IF(ISERROR(C20),LEFT(B20&amp;"",1)="#",IF(ISNUMBER(C20),AND(ISNUMBER(B20),ABS(C20-B20)&lt;=0.000001*MAX(1,ABS(B20))),EXACT(C20&amp;"",B20&amp;"")))</f>
      </c>
      <c r="E20">
        <f>ISERROR(C20)</f>
      </c>
    </row>
    <row r="21">
      <c r="A21" t="str">
        <v>F9</v>
      </c>
      <c r="B21">
        <v>81.9</v>
      </c>
      <c r="C21">
        <f>'cntt'!F9</f>
      </c>
      <c r="D21">
        <f>IF(ISERROR(C21),LEFT(B21&amp;"",1)="#",IF(ISNUMBER(C21),AND(ISNUMBER(B21),ABS(C21-B21)&lt;=0.000001*MAX(1,ABS(B21))),EXACT(C21&amp;"",B21&amp;"")))</f>
      </c>
      <c r="E21">
        <f>ISERROR(C21)</f>
      </c>
    </row>
    <row r="22">
      <c r="A22" t="str">
        <v>F10</v>
      </c>
      <c r="B22">
        <v>1310.7</v>
      </c>
      <c r="C22">
        <f>'cntt'!F10</f>
      </c>
      <c r="D22">
        <f>IF(ISERROR(C22),LEFT(B22&amp;"",1)="#",IF(ISNUMBER(C22),AND(ISNUMBER(B22),ABS(C22-B22)&lt;=0.000001*MAX(1,ABS(B22))),EXACT(C22&amp;"",B22&amp;"")))</f>
      </c>
      <c r="E22">
        <f>ISERROR(C22)</f>
      </c>
    </row>
    <row r="23">
      <c r="A23" t="str">
        <v>F11</v>
      </c>
      <c r="B23">
        <v>32.8</v>
      </c>
      <c r="C23">
        <f>'cntt'!F11</f>
      </c>
      <c r="D23">
        <f>IF(ISERROR(C23),LEFT(B23&amp;"",1)="#",IF(ISNUMBER(C23),AND(ISNUMBER(B23),ABS(C23-B23)&lt;=0.000001*MAX(1,ABS(B23))),EXACT(C23&amp;"",B23&amp;"")))</f>
      </c>
      <c r="E23">
        <f>ISERROR(C23)</f>
      </c>
    </row>
    <row r="24">
      <c r="A24" t="str">
        <v>F12</v>
      </c>
      <c r="B24">
        <v>131.1</v>
      </c>
      <c r="C24">
        <f>'cntt'!F12</f>
      </c>
      <c r="D24">
        <f>IF(ISERROR(C24),LEFT(B24&amp;"",1)="#",IF(ISNUMBER(C24),AND(ISNUMBER(B24),ABS(C24-B24)&lt;=0.000001*MAX(1,ABS(B24))),EXACT(C24&amp;"",B24&amp;"")))</f>
      </c>
      <c r="E24">
        <f>ISERROR(C24)</f>
      </c>
    </row>
    <row r="25">
      <c r="A25" t="str">
        <v>F13</v>
      </c>
      <c r="B25">
        <v>524.3</v>
      </c>
      <c r="C25">
        <f>'cntt'!F13</f>
      </c>
      <c r="D25">
        <f>IF(ISERROR(C25),LEFT(B25&amp;"",1)="#",IF(ISNUMBER(C25),AND(ISNUMBER(B25),ABS(C25-B25)&lt;=0.000001*MAX(1,ABS(B25))),EXACT(C25&amp;"",B25&amp;"")))</f>
      </c>
      <c r="E25">
        <f>ISERROR(C25)</f>
      </c>
    </row>
    <row r="26">
      <c r="A26" t="str">
        <v>G2</v>
      </c>
      <c r="B26">
        <v>2.73</v>
      </c>
      <c r="C26">
        <f>'cntt'!G2</f>
      </c>
      <c r="D26">
        <f>IF(ISERROR(C26),LEFT(B26&amp;"",1)="#",IF(ISNUMBER(C26),AND(ISNUMBER(B26),ABS(C26-B26)&lt;=0.000001*MAX(1,ABS(B26))),EXACT(C26&amp;"",B26&amp;"")))</f>
      </c>
      <c r="E26">
        <f>ISERROR(C26)</f>
      </c>
    </row>
    <row r="27">
      <c r="A27" t="str">
        <v>G3</v>
      </c>
      <c r="B27">
        <v>0.27</v>
      </c>
      <c r="C27">
        <f>'cntt'!G3</f>
      </c>
      <c r="D27">
        <f>IF(ISERROR(C27),LEFT(B27&amp;"",1)="#",IF(ISNUMBER(C27),AND(ISNUMBER(B27),ABS(C27-B27)&lt;=0.000001*MAX(1,ABS(B27))),EXACT(C27&amp;"",B27&amp;"")))</f>
      </c>
      <c r="E27">
        <f>ISERROR(C27)</f>
      </c>
    </row>
    <row r="28">
      <c r="A28" t="str">
        <v>G4</v>
      </c>
      <c r="B28">
        <v>43.69</v>
      </c>
      <c r="C28">
        <f>'cntt'!G4</f>
      </c>
      <c r="D28">
        <f>IF(ISERROR(C28),LEFT(B28&amp;"",1)="#",IF(ISNUMBER(C28),AND(ISNUMBER(B28),ABS(C28-B28)&lt;=0.000001*MAX(1,ABS(B28))),EXACT(C28&amp;"",B28&amp;"")))</f>
      </c>
      <c r="E28">
        <f>ISERROR(C28)</f>
      </c>
    </row>
    <row r="29">
      <c r="A29" t="str">
        <v>G5</v>
      </c>
      <c r="B29">
        <v>10.92</v>
      </c>
      <c r="C29">
        <f>'cntt'!G5</f>
      </c>
      <c r="D29">
        <f>IF(ISERROR(C29),LEFT(B29&amp;"",1)="#",IF(ISNUMBER(C29),AND(ISNUMBER(B29),ABS(C29-B29)&lt;=0.000001*MAX(1,ABS(B29))),EXACT(C29&amp;"",B29&amp;"")))</f>
      </c>
      <c r="E29">
        <f>ISERROR(C29)</f>
      </c>
    </row>
    <row r="30">
      <c r="A30" t="str">
        <v>G6</v>
      </c>
      <c r="B30">
        <v>8.74</v>
      </c>
      <c r="C30">
        <f>'cntt'!G6</f>
      </c>
      <c r="D30">
        <f>IF(ISERROR(C30),LEFT(B30&amp;"",1)="#",IF(ISNUMBER(C30),AND(ISNUMBER(B30),ABS(C30-B30)&lt;=0.000001*MAX(1,ABS(B30))),EXACT(C30&amp;"",B30&amp;"")))</f>
      </c>
      <c r="E30">
        <f>ISERROR(C30)</f>
      </c>
    </row>
    <row r="31">
      <c r="A31" t="str">
        <v>G7</v>
      </c>
      <c r="B31">
        <v>0.55</v>
      </c>
      <c r="C31">
        <f>'cntt'!G7</f>
      </c>
      <c r="D31">
        <f>IF(ISERROR(C31),LEFT(B31&amp;"",1)="#",IF(ISNUMBER(C31),AND(ISNUMBER(B31),ABS(C31-B31)&lt;=0.000001*MAX(1,ABS(B31))),EXACT(C31&amp;"",B31&amp;"")))</f>
      </c>
      <c r="E31">
        <f>ISERROR(C31)</f>
      </c>
    </row>
    <row r="32">
      <c r="A32" t="str">
        <v>G8</v>
      </c>
      <c r="B32">
        <v>0.27</v>
      </c>
      <c r="C32">
        <f>'cntt'!G8</f>
      </c>
      <c r="D32">
        <f>IF(ISERROR(C32),LEFT(B32&amp;"",1)="#",IF(ISNUMBER(C32),AND(ISNUMBER(B32),ABS(C32-B32)&lt;=0.000001*MAX(1,ABS(B32))),EXACT(C32&amp;"",B32&amp;"")))</f>
      </c>
      <c r="E32">
        <f>ISERROR(C32)</f>
      </c>
    </row>
    <row r="33">
      <c r="A33" t="str">
        <v>G9</v>
      </c>
      <c r="B33">
        <v>1.37</v>
      </c>
      <c r="C33">
        <f>'cntt'!G9</f>
      </c>
      <c r="D33">
        <f>IF(ISERROR(C33),LEFT(B33&amp;"",1)="#",IF(ISNUMBER(C33),AND(ISNUMBER(B33),ABS(C33-B33)&lt;=0.000001*MAX(1,ABS(B33))),EXACT(C33&amp;"",B33&amp;"")))</f>
      </c>
      <c r="E33">
        <f>ISERROR(C33)</f>
      </c>
    </row>
    <row r="34">
      <c r="A34" t="str">
        <v>G10</v>
      </c>
      <c r="B34">
        <v>21.85</v>
      </c>
      <c r="C34">
        <f>'cntt'!G10</f>
      </c>
      <c r="D34">
        <f>IF(ISERROR(C34),LEFT(B34&amp;"",1)="#",IF(ISNUMBER(C34),AND(ISNUMBER(B34),ABS(C34-B34)&lt;=0.000001*MAX(1,ABS(B34))),EXACT(C34&amp;"",B34&amp;"")))</f>
      </c>
      <c r="E34">
        <f>ISERROR(C34)</f>
      </c>
    </row>
    <row r="35">
      <c r="A35" t="str">
        <v>G11</v>
      </c>
      <c r="B35">
        <v>0.55</v>
      </c>
      <c r="C35">
        <f>'cntt'!G11</f>
      </c>
      <c r="D35">
        <f>IF(ISERROR(C35),LEFT(B35&amp;"",1)="#",IF(ISNUMBER(C35),AND(ISNUMBER(B35),ABS(C35-B35)&lt;=0.000001*MAX(1,ABS(B35))),EXACT(C35&amp;"",B35&amp;"")))</f>
      </c>
      <c r="E35">
        <f>ISERROR(C35)</f>
      </c>
    </row>
    <row r="36">
      <c r="A36" t="str">
        <v>G12</v>
      </c>
      <c r="B36">
        <v>2.18</v>
      </c>
      <c r="C36">
        <f>'cntt'!G12</f>
      </c>
      <c r="D36">
        <f>IF(ISERROR(C36),LEFT(B36&amp;"",1)="#",IF(ISNUMBER(C36),AND(ISNUMBER(B36),ABS(C36-B36)&lt;=0.000001*MAX(1,ABS(B36))),EXACT(C36&amp;"",B36&amp;"")))</f>
      </c>
      <c r="E36">
        <f>ISERROR(C36)</f>
      </c>
    </row>
    <row r="37">
      <c r="A37" t="str">
        <v>G13</v>
      </c>
      <c r="B37">
        <v>8.74</v>
      </c>
      <c r="C37">
        <f>'cntt'!G13</f>
      </c>
      <c r="D37">
        <f>IF(ISERROR(C37),LEFT(B37&amp;"",1)="#",IF(ISNUMBER(C37),AND(ISNUMBER(B37),ABS(C37-B37)&lt;=0.000001*MAX(1,ABS(B37))),EXACT(C37&amp;"",B37&amp;"")))</f>
      </c>
      <c r="E37">
        <f>ISERROR(C37)</f>
      </c>
    </row>
    <row r="38">
      <c r="A38" t="str">
        <v>H2</v>
      </c>
      <c r="B38" t="str">
        <v>VUA</v>
      </c>
      <c r="C38">
        <f>'cntt'!H2</f>
      </c>
      <c r="D38">
        <f>IF(ISERROR(C38),LEFT(B38&amp;"",1)="#",IF(ISNUMBER(C38),AND(ISNUMBER(B38),ABS(C38-B38)&lt;=0.000001*MAX(1,ABS(B38))),EXACT(C38&amp;"",B38&amp;"")))</f>
      </c>
      <c r="E38">
        <f>ISERROR(C38)</f>
      </c>
    </row>
    <row r="39">
      <c r="A39" t="str">
        <v>H3</v>
      </c>
      <c r="B39" t="str">
        <v>NHANH</v>
      </c>
      <c r="C39">
        <f>'cntt'!H3</f>
      </c>
      <c r="D39">
        <f>IF(ISERROR(C39),LEFT(B39&amp;"",1)="#",IF(ISNUMBER(C39),AND(ISNUMBER(B39),ABS(C39-B39)&lt;=0.000001*MAX(1,ABS(B39))),EXACT(C39&amp;"",B39&amp;"")))</f>
      </c>
      <c r="E39">
        <f>ISERROR(C39)</f>
      </c>
    </row>
    <row r="40">
      <c r="A40" t="str">
        <v>H4</v>
      </c>
      <c r="B40" t="str">
        <v>CHAM</v>
      </c>
      <c r="C40">
        <f>'cntt'!H4</f>
      </c>
      <c r="D40">
        <f>IF(ISERROR(C40),LEFT(B40&amp;"",1)="#",IF(ISNUMBER(C40),AND(ISNUMBER(B40),ABS(C40-B40)&lt;=0.000001*MAX(1,ABS(B40))),EXACT(C40&amp;"",B40&amp;"")))</f>
      </c>
      <c r="E40">
        <f>ISERROR(C40)</f>
      </c>
    </row>
    <row r="41">
      <c r="A41" t="str">
        <v>H5</v>
      </c>
      <c r="B41" t="str">
        <v>CHAM</v>
      </c>
      <c r="C41">
        <f>'cntt'!H5</f>
      </c>
      <c r="D41">
        <f>IF(ISERROR(C41),LEFT(B41&amp;"",1)="#",IF(ISNUMBER(C41),AND(ISNUMBER(B41),ABS(C41-B41)&lt;=0.000001*MAX(1,ABS(B41))),EXACT(C41&amp;"",B41&amp;"")))</f>
      </c>
      <c r="E41">
        <f>ISERROR(C41)</f>
      </c>
    </row>
    <row r="42">
      <c r="A42" t="str">
        <v>H6</v>
      </c>
      <c r="B42" t="str">
        <v>VUA</v>
      </c>
      <c r="C42">
        <f>'cntt'!H6</f>
      </c>
      <c r="D42">
        <f>IF(ISERROR(C42),LEFT(B42&amp;"",1)="#",IF(ISNUMBER(C42),AND(ISNUMBER(B42),ABS(C42-B42)&lt;=0.000001*MAX(1,ABS(B42))),EXACT(C42&amp;"",B42&amp;"")))</f>
      </c>
      <c r="E42">
        <f>ISERROR(C42)</f>
      </c>
    </row>
    <row r="43">
      <c r="A43" t="str">
        <v>H7</v>
      </c>
      <c r="B43" t="str">
        <v>NHANH</v>
      </c>
      <c r="C43">
        <f>'cntt'!H7</f>
      </c>
      <c r="D43">
        <f>IF(ISERROR(C43),LEFT(B43&amp;"",1)="#",IF(ISNUMBER(C43),AND(ISNUMBER(B43),ABS(C43-B43)&lt;=0.000001*MAX(1,ABS(B43))),EXACT(C43&amp;"",B43&amp;"")))</f>
      </c>
      <c r="E43">
        <f>ISERROR(C43)</f>
      </c>
    </row>
    <row r="44">
      <c r="A44" t="str">
        <v>H8</v>
      </c>
      <c r="B44" t="str">
        <v>NHANH</v>
      </c>
      <c r="C44">
        <f>'cntt'!H8</f>
      </c>
      <c r="D44">
        <f>IF(ISERROR(C44),LEFT(B44&amp;"",1)="#",IF(ISNUMBER(C44),AND(ISNUMBER(B44),ABS(C44-B44)&lt;=0.000001*MAX(1,ABS(B44))),EXACT(C44&amp;"",B44&amp;"")))</f>
      </c>
      <c r="E44">
        <f>ISERROR(C44)</f>
      </c>
    </row>
    <row r="45">
      <c r="A45" t="str">
        <v>H9</v>
      </c>
      <c r="B45" t="str">
        <v>VUA</v>
      </c>
      <c r="C45">
        <f>'cntt'!H9</f>
      </c>
      <c r="D45">
        <f>IF(ISERROR(C45),LEFT(B45&amp;"",1)="#",IF(ISNUMBER(C45),AND(ISNUMBER(B45),ABS(C45-B45)&lt;=0.000001*MAX(1,ABS(B45))),EXACT(C45&amp;"",B45&amp;"")))</f>
      </c>
      <c r="E45">
        <f>ISERROR(C45)</f>
      </c>
    </row>
    <row r="46">
      <c r="A46" t="str">
        <v>H10</v>
      </c>
      <c r="B46" t="str">
        <v>CHAM</v>
      </c>
      <c r="C46">
        <f>'cntt'!H10</f>
      </c>
      <c r="D46">
        <f>IF(ISERROR(C46),LEFT(B46&amp;"",1)="#",IF(ISNUMBER(C46),AND(ISNUMBER(B46),ABS(C46-B46)&lt;=0.000001*MAX(1,ABS(B46))),EXACT(C46&amp;"",B46&amp;"")))</f>
      </c>
      <c r="E46">
        <f>ISERROR(C46)</f>
      </c>
    </row>
    <row r="47">
      <c r="A47" t="str">
        <v>H11</v>
      </c>
      <c r="B47" t="str">
        <v>NHANH</v>
      </c>
      <c r="C47">
        <f>'cntt'!H11</f>
      </c>
      <c r="D47">
        <f>IF(ISERROR(C47),LEFT(B47&amp;"",1)="#",IF(ISNUMBER(C47),AND(ISNUMBER(B47),ABS(C47-B47)&lt;=0.000001*MAX(1,ABS(B47))),EXACT(C47&amp;"",B47&amp;"")))</f>
      </c>
      <c r="E47">
        <f>ISERROR(C47)</f>
      </c>
    </row>
    <row r="48">
      <c r="A48" t="str">
        <v>H12</v>
      </c>
      <c r="B48" t="str">
        <v>VUA</v>
      </c>
      <c r="C48">
        <f>'cntt'!H12</f>
      </c>
      <c r="D48">
        <f>IF(ISERROR(C48),LEFT(B48&amp;"",1)="#",IF(ISNUMBER(C48),AND(ISNUMBER(B48),ABS(C48-B48)&lt;=0.000001*MAX(1,ABS(B48))),EXACT(C48&amp;"",B48&amp;"")))</f>
      </c>
      <c r="E48">
        <f>ISERROR(C48)</f>
      </c>
    </row>
    <row r="49">
      <c r="A49" t="str">
        <v>H13</v>
      </c>
      <c r="B49" t="str">
        <v>VUA</v>
      </c>
      <c r="C49">
        <f>'cntt'!H13</f>
      </c>
      <c r="D49">
        <f>IF(ISERROR(C49),LEFT(B49&amp;"",1)="#",IF(ISNUMBER(C49),AND(ISNUMBER(B49),ABS(C49-B49)&lt;=0.000001*MAX(1,ABS(B49))),EXACT(C49&amp;"",B49&amp;"")))</f>
      </c>
      <c r="E49">
        <f>ISERROR(C49)</f>
      </c>
    </row>
    <row r="50">
      <c r="A50" t="str">
        <v>Z2</v>
      </c>
      <c r="B50" t="str">
        <v>MG03</v>
      </c>
      <c r="C50">
        <f>'cntt'!Z2</f>
      </c>
      <c r="D50">
        <f>IF(ISERROR(C50),LEFT(B50&amp;"",1)="#",IF(ISNUMBER(C50),AND(ISNUMBER(B50),ABS(C50-B50)&lt;=0.000001*MAX(1,ABS(B50))),EXACT(C50&amp;"",B50&amp;"")))</f>
      </c>
      <c r="E50">
        <f>ISERROR(C50)</f>
      </c>
    </row>
    <row r="51">
      <c r="A51" t="str">
        <v>Z3</v>
      </c>
      <c r="B51">
        <v>1576</v>
      </c>
      <c r="C51">
        <f>'cntt'!Z3</f>
      </c>
      <c r="D51">
        <f>IF(ISERROR(C51),LEFT(B51&amp;"",1)="#",IF(ISNUMBER(C51),AND(ISNUMBER(B51),ABS(C51-B51)&lt;=0.000001*MAX(1,ABS(B51))),EXACT(C51&amp;"",B51&amp;"")))</f>
      </c>
      <c r="E51">
        <f>ISERROR(C51)</f>
      </c>
    </row>
    <row r="52">
      <c r="A52" t="str">
        <v>Z4</v>
      </c>
      <c r="B52">
        <v>4</v>
      </c>
      <c r="C52">
        <f>'cntt'!Z4</f>
      </c>
      <c r="D52">
        <f>IF(ISERROR(C52),LEFT(B52&amp;"",1)="#",IF(ISNUMBER(C52),AND(ISNUMBER(B52),ABS(C52-B52)&lt;=0.000001*MAX(1,ABS(B52))),EXACT(C52&amp;"",B52&amp;"")))</f>
      </c>
      <c r="E52">
        <f>ISERROR(C52)</f>
      </c>
    </row>
    <row r="53">
      <c r="A53" t="str">
        <v>Z5</v>
      </c>
      <c r="B53">
        <v>1529.1666666666667</v>
      </c>
      <c r="C53">
        <f>'cntt'!Z5</f>
      </c>
      <c r="D53">
        <f>IF(ISERROR(C53),LEFT(B53&amp;"",1)="#",IF(ISNUMBER(C53),AND(ISNUMBER(B53),ABS(C53-B53)&lt;=0.000001*MAX(1,ABS(B53))),EXACT(C53&amp;"",B53&amp;"")))</f>
      </c>
      <c r="E53">
        <f>ISERROR(C53)</f>
      </c>
    </row>
    <row r="54">
      <c r="A54" t="str">
        <v>Z6</v>
      </c>
      <c r="B54">
        <v>8.74</v>
      </c>
      <c r="C54">
        <f>'cntt'!Z6</f>
      </c>
      <c r="D54">
        <f>IF(ISERROR(C54),LEFT(B54&amp;"",1)="#",IF(ISNUMBER(C54),AND(ISNUMBER(B54),ABS(C54-B54)&lt;=0.000001*MAX(1,ABS(B54))),EXACT(C54&amp;"",B54&amp;"")))</f>
      </c>
      <c r="E54">
        <f>ISERROR(C54)</f>
      </c>
    </row>
    <row r="55">
      <c r="A55" t="str">
        <v>Z7</v>
      </c>
      <c r="B55">
        <v>147.45</v>
      </c>
      <c r="C55">
        <f>'cntt'!Z7</f>
      </c>
      <c r="D55">
        <f>IF(ISERROR(C55),LEFT(B55&amp;"",1)="#",IF(ISNUMBER(C55),AND(ISNUMBER(B55),ABS(C55-B55)&lt;=0.000001*MAX(1,ABS(B55))),EXACT(C55&amp;"",B55&amp;"")))</f>
      </c>
      <c r="E55">
        <f>ISERROR(C55)</f>
      </c>
    </row>
    <row r="56">
      <c r="A56" t="str">
        <v>Z8</v>
      </c>
      <c r="B56">
        <v>1310.7</v>
      </c>
      <c r="C56">
        <f>'cntt'!Z8</f>
      </c>
      <c r="D56">
        <f>IF(ISERROR(C56),LEFT(B56&amp;"",1)="#",IF(ISNUMBER(C56),AND(ISNUMBER(B56),ABS(C56-B56)&lt;=0.000001*MAX(1,ABS(B56))),EXACT(C56&amp;"",B56&amp;"")))</f>
      </c>
      <c r="E56">
        <f>ISERROR(C56)</f>
      </c>
    </row>
    <row r="57">
      <c r="A57" t="str">
        <v>Z9</v>
      </c>
      <c r="B57">
        <v>769.3</v>
      </c>
      <c r="C57">
        <f>'cntt'!Z9</f>
      </c>
      <c r="D57">
        <f>IF(ISERROR(C57),LEFT(B57&amp;"",1)="#",IF(ISNUMBER(C57),AND(ISNUMBER(B57),ABS(C57-B57)&lt;=0.000001*MAX(1,ABS(B57))),EXACT(C57&amp;"",B57&amp;"")))</f>
      </c>
      <c r="E57">
        <f>ISERROR(C57)</f>
      </c>
    </row>
    <row r="58">
      <c r="A58" t="str">
        <v>Z10</v>
      </c>
      <c r="B58">
        <v>1576</v>
      </c>
      <c r="C58">
        <f>'cntt'!Z10</f>
      </c>
      <c r="D58">
        <f>IF(ISERROR(C58),LEFT(B58&amp;"",1)="#",IF(ISNUMBER(C58),AND(ISNUMBER(B58),ABS(C58-B58)&lt;=0.000001*MAX(1,ABS(B58))),EXACT(C58&amp;"",B58&amp;"")))</f>
      </c>
      <c r="E58">
        <f>ISERROR(C58)</f>
      </c>
    </row>
    <row r="59">
      <c r="A59" t="str">
        <v>Z11</v>
      </c>
      <c r="B59">
        <v>4</v>
      </c>
      <c r="C59">
        <f>'cntt'!Z11</f>
      </c>
      <c r="D59">
        <f>IF(ISERROR(C59),LEFT(B59&amp;"",1)="#",IF(ISNUMBER(C59),AND(ISNUMBER(B59),ABS(C59-B59)&lt;=0.000001*MAX(1,ABS(B59))),EXACT(C59&amp;"",B59&amp;"")))</f>
      </c>
      <c r="E59">
        <f>ISERROR(C59)</f>
      </c>
    </row>
    <row r="60">
      <c r="A60" t="str">
        <v>Z12</v>
      </c>
      <c r="B60">
        <v>1576</v>
      </c>
      <c r="C60">
        <f>'cntt'!Z12</f>
      </c>
      <c r="D60">
        <f>IF(ISERROR(C60),LEFT(B60&amp;"",1)="#",IF(ISNUMBER(C60),AND(ISNUMBER(B60),ABS(C60-B60)&lt;=0.000001*MAX(1,ABS(B60))),EXACT(C60&amp;"",B60&amp;"")))</f>
      </c>
      <c r="E60">
        <f>ISERROR(C60)</f>
      </c>
    </row>
    <row r="61">
      <c r="A61" t="str">
        <v>Z13</v>
      </c>
      <c r="B61">
        <v>62600</v>
      </c>
      <c r="C61">
        <f>'cntt'!Z13</f>
      </c>
      <c r="D61">
        <f>IF(ISERROR(C61),LEFT(B61&amp;"",1)="#",IF(ISNUMBER(C61),AND(ISNUMBER(B61),ABS(C61-B61)&lt;=0.000001*MAX(1,ABS(B61))),EXACT(C61&amp;"",B61&amp;"")))</f>
      </c>
      <c r="E61">
        <f>ISERROR(C61)</f>
      </c>
    </row>
  </sheetData>
  <ignoredErrors>
    <ignoredError numberStoredAsText="1" sqref="A1:E61"/>
  </ignoredErrors>
</worksheet>
</file>

<file path=xl/worksheets/sheet6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MaDA</v>
      </c>
      <c r="B1" t="str">
        <v>VonDauTu</v>
      </c>
      <c r="C1" t="str">
        <v>LaiSuat</v>
      </c>
      <c r="D1" t="str">
        <v>SoNam</v>
      </c>
      <c r="E1" t="str">
        <v>DoanhThu</v>
      </c>
      <c r="F1" t="str">
        <v>ChiPhi</v>
      </c>
      <c r="G1" t="str">
        <v>Nganh</v>
      </c>
      <c r="H1" t="str">
        <v>STT</v>
      </c>
      <c r="I1" t="str">
        <v>KyVong</v>
      </c>
      <c r="J1" t="str">
        <v>LoiNhuan</v>
      </c>
      <c r="K1" t="str">
        <v>ROI</v>
      </c>
      <c r="L1" t="str">
        <v>HoanVon</v>
      </c>
      <c r="M1" t="str">
        <v>TraHangThang</v>
      </c>
      <c r="N1" t="str">
        <v>TongLai</v>
      </c>
      <c r="O1" t="str">
        <v>GiaTriTuongLai</v>
      </c>
      <c r="P1" t="str">
        <v>DanhGia</v>
      </c>
      <c r="Q1" t="str">
        <v>XepHang</v>
      </c>
      <c r="R1" t="str">
        <v>Nganh</v>
      </c>
      <c r="S1" t="str">
        <v>KyVong</v>
      </c>
      <c r="W1" t="str">
        <v>Nganh</v>
      </c>
      <c r="Y1" t="str">
        <v>TongHop</v>
      </c>
      <c r="Z1" t="str">
        <v>KetQua</v>
      </c>
    </row>
    <row r="2">
      <c r="A2" t="str">
        <v>NN01</v>
      </c>
      <c r="B2">
        <v>710</v>
      </c>
      <c r="C2">
        <v>0.06</v>
      </c>
      <c r="D2">
        <v>3</v>
      </c>
      <c r="E2">
        <v>305</v>
      </c>
      <c r="F2">
        <v>210</v>
      </c>
      <c r="G2" t="str">
        <f>LEFT(A2,2)</f>
        <v>NN</v>
      </c>
      <c r="H2">
        <f>VALUE(RIGHT(A2,2))</f>
        <v>1</v>
      </c>
      <c r="I2">
        <f>VLOOKUP(G2,$R$2:$S$4,2,FALSE)</f>
        <v>0.08</v>
      </c>
      <c r="J2">
        <f>E2-F2</f>
        <v>95</v>
      </c>
      <c r="K2">
        <f>ROUND(J2/B2,4)</f>
        <v>0.1338</v>
      </c>
      <c r="L2">
        <f>ROUND(B2/J2,1)</f>
        <v>7.5</v>
      </c>
      <c r="M2">
        <f>ROUND(-PMT(C2/12,D2*12,B2),2)</f>
        <v>21.6</v>
      </c>
      <c r="N2">
        <f>ROUND(-PMT(C2/12,D2*12,B2)*D2*12-B2,2)</f>
        <v>67.58</v>
      </c>
      <c r="O2">
        <f>ROUND(FV(C2,D2,0,-B2),2)</f>
        <v>845.62</v>
      </c>
      <c r="P2" t="str">
        <f>IF(K2&gt;=I2,"NEN DAU TU",IF(K2&gt;=I2/2,"CAN NHAC","LOAI"))</f>
        <v>NEN DAU TU</v>
      </c>
      <c r="Q2">
        <f>RANK(K2,$K$2:$K$13)</f>
        <v>5</v>
      </c>
      <c r="R2" t="str">
        <v>NN</v>
      </c>
      <c r="S2">
        <v>0.08</v>
      </c>
      <c r="W2" t="str">
        <v>CN</v>
      </c>
      <c r="Y2" t="str">
        <v>Ma DA co ROI cao nhat</v>
      </c>
      <c r="Z2" t="str">
        <f>INDEX(A2:A13,MATCH(MAX(K2:K13),K2:K13,0))</f>
        <v>NN12</v>
      </c>
    </row>
    <row r="3">
      <c r="A3" t="str">
        <v>CN02</v>
      </c>
      <c r="B3">
        <v>895</v>
      </c>
      <c r="C3">
        <v>0.08</v>
      </c>
      <c r="D3">
        <v>7</v>
      </c>
      <c r="E3">
        <v>269</v>
      </c>
      <c r="F3">
        <v>221</v>
      </c>
      <c r="G3" t="str">
        <f>LEFT(A3,2)</f>
        <v>CN</v>
      </c>
      <c r="H3">
        <f>VALUE(RIGHT(A3,2))</f>
        <v>2</v>
      </c>
      <c r="I3">
        <f>VLOOKUP(G3,$R$2:$S$4,2,FALSE)</f>
        <v>0.12</v>
      </c>
      <c r="J3">
        <f>E3-F3</f>
        <v>48</v>
      </c>
      <c r="K3">
        <f>ROUND(J3/B3,4)</f>
        <v>0.0536</v>
      </c>
      <c r="L3">
        <f>ROUND(B3/J3,1)</f>
        <v>18.6</v>
      </c>
      <c r="M3">
        <f>ROUND(-PMT(C3/12,D3*12,B3),2)</f>
        <v>13.95</v>
      </c>
      <c r="N3">
        <f>ROUND(-PMT(C3/12,D3*12,B3)*D3*12-B3,2)</f>
        <v>276.77</v>
      </c>
      <c r="O3">
        <f>ROUND(FV(C3,D3,0,-B3),2)</f>
        <v>1533.87</v>
      </c>
      <c r="P3" t="str">
        <f>IF(K3&gt;=I3,"NEN DAU TU",IF(K3&gt;=I3/2,"CAN NHAC","LOAI"))</f>
        <v>LOAI</v>
      </c>
      <c r="Q3">
        <f>RANK(K3,$K$2:$K$13)</f>
        <v>12</v>
      </c>
      <c r="R3" t="str">
        <v>CN</v>
      </c>
      <c r="S3">
        <v>0.12</v>
      </c>
      <c r="Y3" t="str">
        <v>Tong von nganh NN</v>
      </c>
      <c r="Z3">
        <f>SUMIF(G2:G13,"NN",B2:B13)</f>
        <v>3155</v>
      </c>
    </row>
    <row r="4">
      <c r="A4" t="str">
        <v>DV03</v>
      </c>
      <c r="B4">
        <v>675</v>
      </c>
      <c r="C4">
        <v>0.12</v>
      </c>
      <c r="D4">
        <v>10</v>
      </c>
      <c r="E4">
        <v>263</v>
      </c>
      <c r="F4">
        <v>171</v>
      </c>
      <c r="G4" t="str">
        <f>LEFT(A4,2)</f>
        <v>DV</v>
      </c>
      <c r="H4">
        <f>VALUE(RIGHT(A4,2))</f>
        <v>3</v>
      </c>
      <c r="I4">
        <f>VLOOKUP(G4,$R$2:$S$4,2,FALSE)</f>
        <v>0.15</v>
      </c>
      <c r="J4">
        <f>E4-F4</f>
        <v>92</v>
      </c>
      <c r="K4">
        <f>ROUND(J4/B4,4)</f>
        <v>0.1363</v>
      </c>
      <c r="L4">
        <f>ROUND(B4/J4,1)</f>
        <v>7.3</v>
      </c>
      <c r="M4">
        <f>ROUND(-PMT(C4/12,D4*12,B4),2)</f>
        <v>9.68</v>
      </c>
      <c r="N4">
        <f>ROUND(-PMT(C4/12,D4*12,B4)*D4*12-B4,2)</f>
        <v>487.11</v>
      </c>
      <c r="O4">
        <f>ROUND(FV(C4,D4,0,-B4),2)</f>
        <v>2096.45</v>
      </c>
      <c r="P4" t="str">
        <f>IF(K4&gt;=I4,"NEN DAU TU",IF(K4&gt;=I4/2,"CAN NHAC","LOAI"))</f>
        <v>CAN NHAC</v>
      </c>
      <c r="Q4">
        <f>RANK(K4,$K$2:$K$13)</f>
        <v>4</v>
      </c>
      <c r="R4" t="str">
        <v>DV</v>
      </c>
      <c r="S4">
        <v>0.15</v>
      </c>
      <c r="Y4" t="str">
        <v>So DA nganh CN NEN DAU TU</v>
      </c>
      <c r="Z4">
        <f>COUNTIFS(G2:G13,"CN",P2:P13,"NEN DAU TU")</f>
        <v>2</v>
      </c>
    </row>
    <row r="5">
      <c r="A5" t="str">
        <v>DV04</v>
      </c>
      <c r="B5">
        <v>860</v>
      </c>
      <c r="C5">
        <v>0.08</v>
      </c>
      <c r="D5">
        <v>10</v>
      </c>
      <c r="E5">
        <v>310</v>
      </c>
      <c r="F5">
        <v>245</v>
      </c>
      <c r="G5" t="str">
        <f>LEFT(A5,2)</f>
        <v>DV</v>
      </c>
      <c r="H5">
        <f>VALUE(RIGHT(A5,2))</f>
        <v>4</v>
      </c>
      <c r="I5">
        <f>VLOOKUP(G5,$R$2:$S$4,2,FALSE)</f>
        <v>0.15</v>
      </c>
      <c r="J5">
        <f>E5-F5</f>
        <v>65</v>
      </c>
      <c r="K5">
        <f>ROUND(J5/B5,4)</f>
        <v>0.0756</v>
      </c>
      <c r="L5">
        <f>ROUND(B5/J5,1)</f>
        <v>13.2</v>
      </c>
      <c r="M5">
        <f>ROUND(-PMT(C5/12,D5*12,B5),2)</f>
        <v>10.43</v>
      </c>
      <c r="N5">
        <f>ROUND(-PMT(C5/12,D5*12,B5)*D5*12-B5,2)</f>
        <v>392.1</v>
      </c>
      <c r="O5">
        <f>ROUND(FV(C5,D5,0,-B5),2)</f>
        <v>1856.68</v>
      </c>
      <c r="P5" t="str">
        <f>IF(K5&gt;=I5,"NEN DAU TU",IF(K5&gt;=I5/2,"CAN NHAC","LOAI"))</f>
        <v>CAN NHAC</v>
      </c>
      <c r="Q5">
        <f>RANK(K5,$K$2:$K$13)</f>
        <v>10</v>
      </c>
      <c r="Y5" t="str">
        <v>ROI TB nganh DV</v>
      </c>
      <c r="Z5">
        <f>AVERAGEIF(G2:G13,"DV",K2:K13)</f>
        <v>0.09706666666666668</v>
      </c>
    </row>
    <row r="6">
      <c r="A6" t="str">
        <v>NN05</v>
      </c>
      <c r="B6">
        <v>920</v>
      </c>
      <c r="C6">
        <v>0.09</v>
      </c>
      <c r="D6">
        <v>3</v>
      </c>
      <c r="E6">
        <v>331</v>
      </c>
      <c r="F6">
        <v>228</v>
      </c>
      <c r="G6" t="str">
        <f>LEFT(A6,2)</f>
        <v>NN</v>
      </c>
      <c r="H6">
        <f>VALUE(RIGHT(A6,2))</f>
        <v>5</v>
      </c>
      <c r="I6">
        <f>VLOOKUP(G6,$R$2:$S$4,2,FALSE)</f>
        <v>0.08</v>
      </c>
      <c r="J6">
        <f>E6-F6</f>
        <v>103</v>
      </c>
      <c r="K6">
        <f>ROUND(J6/B6,4)</f>
        <v>0.112</v>
      </c>
      <c r="L6">
        <f>ROUND(B6/J6,1)</f>
        <v>8.9</v>
      </c>
      <c r="M6">
        <f>ROUND(-PMT(C6/12,D6*12,B6),2)</f>
        <v>29.26</v>
      </c>
      <c r="N6">
        <f>ROUND(-PMT(C6/12,D6*12,B6)*D6*12-B6,2)</f>
        <v>133.21</v>
      </c>
      <c r="O6">
        <f>ROUND(FV(C6,D6,0,-B6),2)</f>
        <v>1191.43</v>
      </c>
      <c r="P6" t="str">
        <f>IF(K6&gt;=I6,"NEN DAU TU",IF(K6&gt;=I6/2,"CAN NHAC","LOAI"))</f>
        <v>NEN DAU TU</v>
      </c>
      <c r="Q6">
        <f>RANK(K6,$K$2:$K$13)</f>
        <v>7</v>
      </c>
      <c r="Y6" t="str">
        <v>TraHangThang lon nhat nganh CN</v>
      </c>
      <c r="Z6">
        <f>_xlfn.MAXIFS(M2:M13,G2:G13,"CN")</f>
        <v>31.72</v>
      </c>
    </row>
    <row r="7">
      <c r="A7" t="str">
        <v>DV06</v>
      </c>
      <c r="B7">
        <v>290</v>
      </c>
      <c r="C7">
        <v>0.1</v>
      </c>
      <c r="D7">
        <v>10</v>
      </c>
      <c r="E7">
        <v>128</v>
      </c>
      <c r="F7">
        <v>105</v>
      </c>
      <c r="G7" t="str">
        <f>LEFT(A7,2)</f>
        <v>DV</v>
      </c>
      <c r="H7">
        <f>VALUE(RIGHT(A7,2))</f>
        <v>6</v>
      </c>
      <c r="I7">
        <f>VLOOKUP(G7,$R$2:$S$4,2,FALSE)</f>
        <v>0.15</v>
      </c>
      <c r="J7">
        <f>E7-F7</f>
        <v>23</v>
      </c>
      <c r="K7">
        <f>ROUND(J7/B7,4)</f>
        <v>0.0793</v>
      </c>
      <c r="L7">
        <f>ROUND(B7/J7,1)</f>
        <v>12.6</v>
      </c>
      <c r="M7">
        <f>ROUND(-PMT(C7/12,D7*12,B7),2)</f>
        <v>3.83</v>
      </c>
      <c r="N7">
        <f>ROUND(-PMT(C7/12,D7*12,B7)*D7*12-B7,2)</f>
        <v>169.88</v>
      </c>
      <c r="O7">
        <f>ROUND(FV(C7,D7,0,-B7),2)</f>
        <v>752.19</v>
      </c>
      <c r="P7" t="str">
        <f>IF(K7&gt;=I7,"NEN DAU TU",IF(K7&gt;=I7/2,"CAN NHAC","LOAI"))</f>
        <v>CAN NHAC</v>
      </c>
      <c r="Q7">
        <f>RANK(K7,$K$2:$K$13)</f>
        <v>8</v>
      </c>
      <c r="Y7" t="str">
        <v>ROI trung vi</v>
      </c>
      <c r="Z7">
        <f>MEDIAN(K2:K13)</f>
        <v>0.11674999999999999</v>
      </c>
    </row>
    <row r="8">
      <c r="A8" t="str">
        <v>CN07</v>
      </c>
      <c r="B8">
        <v>955</v>
      </c>
      <c r="C8">
        <v>0.12</v>
      </c>
      <c r="D8">
        <v>3</v>
      </c>
      <c r="E8">
        <v>554</v>
      </c>
      <c r="F8">
        <v>438</v>
      </c>
      <c r="G8" t="str">
        <f>LEFT(A8,2)</f>
        <v>CN</v>
      </c>
      <c r="H8">
        <f>VALUE(RIGHT(A8,2))</f>
        <v>7</v>
      </c>
      <c r="I8">
        <f>VLOOKUP(G8,$R$2:$S$4,2,FALSE)</f>
        <v>0.12</v>
      </c>
      <c r="J8">
        <f>E8-F8</f>
        <v>116</v>
      </c>
      <c r="K8">
        <f>ROUND(J8/B8,4)</f>
        <v>0.1215</v>
      </c>
      <c r="L8">
        <f>ROUND(B8/J8,1)</f>
        <v>8.2</v>
      </c>
      <c r="M8">
        <f>ROUND(-PMT(C8/12,D8*12,B8),2)</f>
        <v>31.72</v>
      </c>
      <c r="N8">
        <f>ROUND(-PMT(C8/12,D8*12,B8)*D8*12-B8,2)</f>
        <v>186.91</v>
      </c>
      <c r="O8">
        <f>ROUND(FV(C8,D8,0,-B8),2)</f>
        <v>1341.71</v>
      </c>
      <c r="P8" t="str">
        <f>IF(K8&gt;=I8,"NEN DAU TU",IF(K8&gt;=I8/2,"CAN NHAC","LOAI"))</f>
        <v>NEN DAU TU</v>
      </c>
      <c r="Q8">
        <f>RANK(K8,$K$2:$K$13)</f>
        <v>6</v>
      </c>
      <c r="Y8" t="str">
        <v>TongLai lon thu hai</v>
      </c>
      <c r="Z8">
        <f>LARGE(N2:N13,2)</f>
        <v>392.1</v>
      </c>
    </row>
    <row r="9">
      <c r="A9" t="str">
        <v>CN08</v>
      </c>
      <c r="B9">
        <v>450</v>
      </c>
      <c r="C9">
        <v>0.06</v>
      </c>
      <c r="D9">
        <v>10</v>
      </c>
      <c r="E9">
        <v>180</v>
      </c>
      <c r="F9">
        <v>101</v>
      </c>
      <c r="G9" t="str">
        <f>LEFT(A9,2)</f>
        <v>CN</v>
      </c>
      <c r="H9">
        <f>VALUE(RIGHT(A9,2))</f>
        <v>8</v>
      </c>
      <c r="I9">
        <f>VLOOKUP(G9,$R$2:$S$4,2,FALSE)</f>
        <v>0.12</v>
      </c>
      <c r="J9">
        <f>E9-F9</f>
        <v>79</v>
      </c>
      <c r="K9">
        <f>ROUND(J9/B9,4)</f>
        <v>0.1756</v>
      </c>
      <c r="L9">
        <f>ROUND(B9/J9,1)</f>
        <v>5.7</v>
      </c>
      <c r="M9">
        <f>ROUND(-PMT(C9/12,D9*12,B9),2)</f>
        <v>5</v>
      </c>
      <c r="N9">
        <f>ROUND(-PMT(C9/12,D9*12,B9)*D9*12-B9,2)</f>
        <v>149.51</v>
      </c>
      <c r="O9">
        <f>ROUND(FV(C9,D9,0,-B9),2)</f>
        <v>805.88</v>
      </c>
      <c r="P9" t="str">
        <f>IF(K9&gt;=I9,"NEN DAU TU",IF(K9&gt;=I9/2,"CAN NHAC","LOAI"))</f>
        <v>NEN DAU TU</v>
      </c>
      <c r="Q9">
        <f>RANK(K9,$K$2:$K$13)</f>
        <v>2</v>
      </c>
      <c r="Y9" t="str">
        <v>Tong von theo tieu chi W1:W2</v>
      </c>
      <c r="Z9">
        <f>DSUM(A1:Q13,"VonDauTu",W1:W2)</f>
        <v>2950</v>
      </c>
    </row>
    <row r="10">
      <c r="A10" t="str">
        <v>NN09</v>
      </c>
      <c r="B10">
        <v>440</v>
      </c>
      <c r="C10">
        <v>0.09</v>
      </c>
      <c r="D10">
        <v>7</v>
      </c>
      <c r="E10">
        <v>176</v>
      </c>
      <c r="F10">
        <v>114</v>
      </c>
      <c r="G10" t="str">
        <f>LEFT(A10,2)</f>
        <v>NN</v>
      </c>
      <c r="H10">
        <f>VALUE(RIGHT(A10,2))</f>
        <v>9</v>
      </c>
      <c r="I10">
        <f>VLOOKUP(G10,$R$2:$S$4,2,FALSE)</f>
        <v>0.08</v>
      </c>
      <c r="J10">
        <f>E10-F10</f>
        <v>62</v>
      </c>
      <c r="K10">
        <f>ROUND(J10/B10,4)</f>
        <v>0.1409</v>
      </c>
      <c r="L10">
        <f>ROUND(B10/J10,1)</f>
        <v>7.1</v>
      </c>
      <c r="M10">
        <f>ROUND(-PMT(C10/12,D10*12,B10),2)</f>
        <v>7.08</v>
      </c>
      <c r="N10">
        <f>ROUND(-PMT(C10/12,D10*12,B10)*D10*12-B10,2)</f>
        <v>154.65</v>
      </c>
      <c r="O10">
        <f>ROUND(FV(C10,D10,0,-B10),2)</f>
        <v>804.34</v>
      </c>
      <c r="P10" t="str">
        <f>IF(K10&gt;=I10,"NEN DAU TU",IF(K10&gt;=I10/2,"CAN NHAC","LOAI"))</f>
        <v>NEN DAU TU</v>
      </c>
      <c r="Q10">
        <f>RANK(K10,$K$2:$K$13)</f>
        <v>3</v>
      </c>
      <c r="Y10" t="str">
        <v>ROI TB theo tieu chi W1:W2</v>
      </c>
      <c r="Z10">
        <f>DAVERAGE(A1:Q13,"ROI",W1:W2)</f>
        <v>0.10652500000000001</v>
      </c>
    </row>
    <row r="11">
      <c r="A11" t="str">
        <v>CN10</v>
      </c>
      <c r="B11">
        <v>650</v>
      </c>
      <c r="C11">
        <v>0.1</v>
      </c>
      <c r="D11">
        <v>3</v>
      </c>
      <c r="E11">
        <v>260</v>
      </c>
      <c r="F11">
        <v>211</v>
      </c>
      <c r="G11" t="str">
        <f>LEFT(A11,2)</f>
        <v>CN</v>
      </c>
      <c r="H11">
        <f>VALUE(RIGHT(A11,2))</f>
        <v>10</v>
      </c>
      <c r="I11">
        <f>VLOOKUP(G11,$R$2:$S$4,2,FALSE)</f>
        <v>0.12</v>
      </c>
      <c r="J11">
        <f>E11-F11</f>
        <v>49</v>
      </c>
      <c r="K11">
        <f>ROUND(J11/B11,4)</f>
        <v>0.0754</v>
      </c>
      <c r="L11">
        <f>ROUND(B11/J11,1)</f>
        <v>13.3</v>
      </c>
      <c r="M11">
        <f>ROUND(-PMT(C11/12,D11*12,B11),2)</f>
        <v>20.97</v>
      </c>
      <c r="N11">
        <f>ROUND(-PMT(C11/12,D11*12,B11)*D11*12-B11,2)</f>
        <v>105.05</v>
      </c>
      <c r="O11">
        <f>ROUND(FV(C11,D11,0,-B11),2)</f>
        <v>865.15</v>
      </c>
      <c r="P11" t="str">
        <f>IF(K11&gt;=I11,"NEN DAU TU",IF(K11&gt;=I11/2,"CAN NHAC","LOAI"))</f>
        <v>CAN NHAC</v>
      </c>
      <c r="Q11">
        <f>RANK(K11,$K$2:$K$13)</f>
        <v>11</v>
      </c>
      <c r="Y11" t="str">
        <v>Tong LoiNhuan nganh NN</v>
      </c>
      <c r="Z11">
        <f>SUMPRODUCT((G2:G13="NN")*J2:J13)</f>
        <v>514</v>
      </c>
    </row>
    <row r="12">
      <c r="A12" t="str">
        <v>NN11</v>
      </c>
      <c r="B12">
        <v>105</v>
      </c>
      <c r="C12">
        <v>0.08</v>
      </c>
      <c r="D12">
        <v>7</v>
      </c>
      <c r="E12">
        <v>39</v>
      </c>
      <c r="F12">
        <v>31</v>
      </c>
      <c r="G12" t="str">
        <f>LEFT(A12,2)</f>
        <v>NN</v>
      </c>
      <c r="H12">
        <f>VALUE(RIGHT(A12,2))</f>
        <v>11</v>
      </c>
      <c r="I12">
        <f>VLOOKUP(G12,$R$2:$S$4,2,FALSE)</f>
        <v>0.08</v>
      </c>
      <c r="J12">
        <f>E12-F12</f>
        <v>8</v>
      </c>
      <c r="K12">
        <f>ROUND(J12/B12,4)</f>
        <v>0.0762</v>
      </c>
      <c r="L12">
        <f>ROUND(B12/J12,1)</f>
        <v>13.1</v>
      </c>
      <c r="M12">
        <f>ROUND(-PMT(C12/12,D12*12,B12),2)</f>
        <v>1.64</v>
      </c>
      <c r="N12">
        <f>ROUND(-PMT(C12/12,D12*12,B12)*D12*12-B12,2)</f>
        <v>32.47</v>
      </c>
      <c r="O12">
        <f>ROUND(FV(C12,D12,0,-B12),2)</f>
        <v>179.95</v>
      </c>
      <c r="P12" t="str">
        <f>IF(K12&gt;=I12,"NEN DAU TU",IF(K12&gt;=I12/2,"CAN NHAC","LOAI"))</f>
        <v>CAN NHAC</v>
      </c>
      <c r="Q12">
        <f>RANK(K12,$K$2:$K$13)</f>
        <v>9</v>
      </c>
      <c r="Y12" t="str">
        <v>Tong VonDauTu x LaiSuat</v>
      </c>
      <c r="Z12">
        <f>SUMPRODUCT(B2:B13,C2:C13)</f>
        <v>689.1999999999999</v>
      </c>
    </row>
    <row r="13">
      <c r="A13" t="str">
        <v>NN12</v>
      </c>
      <c r="B13">
        <v>980</v>
      </c>
      <c r="C13">
        <v>0.06</v>
      </c>
      <c r="D13">
        <v>10</v>
      </c>
      <c r="E13">
        <v>559</v>
      </c>
      <c r="F13">
        <v>313</v>
      </c>
      <c r="G13" t="str">
        <f>LEFT(A13,2)</f>
        <v>NN</v>
      </c>
      <c r="H13">
        <f>VALUE(RIGHT(A13,2))</f>
        <v>12</v>
      </c>
      <c r="I13">
        <f>VLOOKUP(G13,$R$2:$S$4,2,FALSE)</f>
        <v>0.08</v>
      </c>
      <c r="J13">
        <f>E13-F13</f>
        <v>246</v>
      </c>
      <c r="K13">
        <f>ROUND(J13/B13,4)</f>
        <v>0.251</v>
      </c>
      <c r="L13">
        <f>ROUND(B13/J13,1)</f>
        <v>4</v>
      </c>
      <c r="M13">
        <f>ROUND(-PMT(C13/12,D13*12,B13),2)</f>
        <v>10.88</v>
      </c>
      <c r="N13">
        <f>ROUND(-PMT(C13/12,D13*12,B13)*D13*12-B13,2)</f>
        <v>325.6</v>
      </c>
      <c r="O13">
        <f>ROUND(FV(C13,D13,0,-B13),2)</f>
        <v>1755.03</v>
      </c>
      <c r="P13" t="str">
        <f>IF(K13&gt;=I13,"NEN DAU TU",IF(K13&gt;=I13/2,"CAN NHAC","LOAI"))</f>
        <v>NEN DAU TU</v>
      </c>
      <c r="Q13">
        <f>RANK(K13,$K$2:$K$13)</f>
        <v>1</v>
      </c>
    </row>
  </sheetData>
  <ignoredErrors>
    <ignoredError numberStoredAsText="1" sqref="A1:Z13"/>
  </ignoredErrors>
</worksheet>
</file>

<file path=xl/worksheets/sheet69.xml><?xml version="1.0" encoding="utf-8"?>
<worksheet xmlns="http://schemas.openxmlformats.org/spreadsheetml/2006/main" xmlns:r="http://schemas.openxmlformats.org/officeDocument/2006/relationships">
  <dimension ref="A1:E14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t="str">
        <v>NN</v>
      </c>
      <c r="C2">
        <f>'kinhte'!G2</f>
      </c>
      <c r="D2">
        <f>IF(ISERROR(C2),LEFT(B2&amp;"",1)="#",IF(ISNUMBER(C2),AND(ISNUMBER(B2),ABS(C2-B2)&lt;=0.000001*MAX(1,ABS(B2))),EXACT(C2&amp;"",B2&amp;"")))</f>
      </c>
      <c r="E2">
        <f>ISERROR(C2)</f>
      </c>
    </row>
    <row r="3">
      <c r="A3" t="str">
        <v>G3</v>
      </c>
      <c r="B3" t="str">
        <v>CN</v>
      </c>
      <c r="C3">
        <f>'kinhte'!G3</f>
      </c>
      <c r="D3">
        <f>IF(ISERROR(C3),LEFT(B3&amp;"",1)="#",IF(ISNUMBER(C3),AND(ISNUMBER(B3),ABS(C3-B3)&lt;=0.000001*MAX(1,ABS(B3))),EXACT(C3&amp;"",B3&amp;"")))</f>
      </c>
      <c r="E3">
        <f>ISERROR(C3)</f>
      </c>
    </row>
    <row r="4">
      <c r="A4" t="str">
        <v>G4</v>
      </c>
      <c r="B4" t="str">
        <v>DV</v>
      </c>
      <c r="C4">
        <f>'kinhte'!G4</f>
      </c>
      <c r="D4">
        <f>IF(ISERROR(C4),LEFT(B4&amp;"",1)="#",IF(ISNUMBER(C4),AND(ISNUMBER(B4),ABS(C4-B4)&lt;=0.000001*MAX(1,ABS(B4))),EXACT(C4&amp;"",B4&amp;"")))</f>
      </c>
      <c r="E4">
        <f>ISERROR(C4)</f>
      </c>
    </row>
    <row r="5">
      <c r="A5" t="str">
        <v>G5</v>
      </c>
      <c r="B5" t="str">
        <v>DV</v>
      </c>
      <c r="C5">
        <f>'kinhte'!G5</f>
      </c>
      <c r="D5">
        <f>IF(ISERROR(C5),LEFT(B5&amp;"",1)="#",IF(ISNUMBER(C5),AND(ISNUMBER(B5),ABS(C5-B5)&lt;=0.000001*MAX(1,ABS(B5))),EXACT(C5&amp;"",B5&amp;"")))</f>
      </c>
      <c r="E5">
        <f>ISERROR(C5)</f>
      </c>
    </row>
    <row r="6">
      <c r="A6" t="str">
        <v>G6</v>
      </c>
      <c r="B6" t="str">
        <v>NN</v>
      </c>
      <c r="C6">
        <f>'kinhte'!G6</f>
      </c>
      <c r="D6">
        <f>IF(ISERROR(C6),LEFT(B6&amp;"",1)="#",IF(ISNUMBER(C6),AND(ISNUMBER(B6),ABS(C6-B6)&lt;=0.000001*MAX(1,ABS(B6))),EXACT(C6&amp;"",B6&amp;"")))</f>
      </c>
      <c r="E6">
        <f>ISERROR(C6)</f>
      </c>
    </row>
    <row r="7">
      <c r="A7" t="str">
        <v>G7</v>
      </c>
      <c r="B7" t="str">
        <v>DV</v>
      </c>
      <c r="C7">
        <f>'kinhte'!G7</f>
      </c>
      <c r="D7">
        <f>IF(ISERROR(C7),LEFT(B7&amp;"",1)="#",IF(ISNUMBER(C7),AND(ISNUMBER(B7),ABS(C7-B7)&lt;=0.000001*MAX(1,ABS(B7))),EXACT(C7&amp;"",B7&amp;"")))</f>
      </c>
      <c r="E7">
        <f>ISERROR(C7)</f>
      </c>
    </row>
    <row r="8">
      <c r="A8" t="str">
        <v>G8</v>
      </c>
      <c r="B8" t="str">
        <v>CN</v>
      </c>
      <c r="C8">
        <f>'kinhte'!G8</f>
      </c>
      <c r="D8">
        <f>IF(ISERROR(C8),LEFT(B8&amp;"",1)="#",IF(ISNUMBER(C8),AND(ISNUMBER(B8),ABS(C8-B8)&lt;=0.000001*MAX(1,ABS(B8))),EXACT(C8&amp;"",B8&amp;"")))</f>
      </c>
      <c r="E8">
        <f>ISERROR(C8)</f>
      </c>
    </row>
    <row r="9">
      <c r="A9" t="str">
        <v>G9</v>
      </c>
      <c r="B9" t="str">
        <v>CN</v>
      </c>
      <c r="C9">
        <f>'kinhte'!G9</f>
      </c>
      <c r="D9">
        <f>IF(ISERROR(C9),LEFT(B9&amp;"",1)="#",IF(ISNUMBER(C9),AND(ISNUMBER(B9),ABS(C9-B9)&lt;=0.000001*MAX(1,ABS(B9))),EXACT(C9&amp;"",B9&amp;"")))</f>
      </c>
      <c r="E9">
        <f>ISERROR(C9)</f>
      </c>
    </row>
    <row r="10">
      <c r="A10" t="str">
        <v>G10</v>
      </c>
      <c r="B10" t="str">
        <v>NN</v>
      </c>
      <c r="C10">
        <f>'kinhte'!G10</f>
      </c>
      <c r="D10">
        <f>IF(ISERROR(C10),LEFT(B10&amp;"",1)="#",IF(ISNUMBER(C10),AND(ISNUMBER(B10),ABS(C10-B10)&lt;=0.000001*MAX(1,ABS(B10))),EXACT(C10&amp;"",B10&amp;"")))</f>
      </c>
      <c r="E10">
        <f>ISERROR(C10)</f>
      </c>
    </row>
    <row r="11">
      <c r="A11" t="str">
        <v>G11</v>
      </c>
      <c r="B11" t="str">
        <v>CN</v>
      </c>
      <c r="C11">
        <f>'kinhte'!G11</f>
      </c>
      <c r="D11">
        <f>IF(ISERROR(C11),LEFT(B11&amp;"",1)="#",IF(ISNUMBER(C11),AND(ISNUMBER(B11),ABS(C11-B11)&lt;=0.000001*MAX(1,ABS(B11))),EXACT(C11&amp;"",B11&amp;"")))</f>
      </c>
      <c r="E11">
        <f>ISERROR(C11)</f>
      </c>
    </row>
    <row r="12">
      <c r="A12" t="str">
        <v>G12</v>
      </c>
      <c r="B12" t="str">
        <v>NN</v>
      </c>
      <c r="C12">
        <f>'kinhte'!G12</f>
      </c>
      <c r="D12">
        <f>IF(ISERROR(C12),LEFT(B12&amp;"",1)="#",IF(ISNUMBER(C12),AND(ISNUMBER(B12),ABS(C12-B12)&lt;=0.000001*MAX(1,ABS(B12))),EXACT(C12&amp;"",B12&amp;"")))</f>
      </c>
      <c r="E12">
        <f>ISERROR(C12)</f>
      </c>
    </row>
    <row r="13">
      <c r="A13" t="str">
        <v>G13</v>
      </c>
      <c r="B13" t="str">
        <v>NN</v>
      </c>
      <c r="C13">
        <f>'kinhte'!G13</f>
      </c>
      <c r="D13">
        <f>IF(ISERROR(C13),LEFT(B13&amp;"",1)="#",IF(ISNUMBER(C13),AND(ISNUMBER(B13),ABS(C13-B13)&lt;=0.000001*MAX(1,ABS(B13))),EXACT(C13&amp;"",B13&amp;"")))</f>
      </c>
      <c r="E13">
        <f>ISERROR(C13)</f>
      </c>
    </row>
    <row r="14">
      <c r="A14" t="str">
        <v>H2</v>
      </c>
      <c r="B14">
        <v>1</v>
      </c>
      <c r="C14">
        <f>'kinhte'!H2</f>
      </c>
      <c r="D14">
        <f>IF(ISERROR(C14),LEFT(B14&amp;"",1)="#",IF(ISNUMBER(C14),AND(ISNUMBER(B14),ABS(C14-B14)&lt;=0.000001*MAX(1,ABS(B14))),EXACT(C14&amp;"",B14&amp;"")))</f>
      </c>
      <c r="E14">
        <f>ISERROR(C14)</f>
      </c>
    </row>
    <row r="15">
      <c r="A15" t="str">
        <v>H3</v>
      </c>
      <c r="B15">
        <v>2</v>
      </c>
      <c r="C15">
        <f>'kinhte'!H3</f>
      </c>
      <c r="D15">
        <f>IF(ISERROR(C15),LEFT(B15&amp;"",1)="#",IF(ISNUMBER(C15),AND(ISNUMBER(B15),ABS(C15-B15)&lt;=0.000001*MAX(1,ABS(B15))),EXACT(C15&amp;"",B15&amp;"")))</f>
      </c>
      <c r="E15">
        <f>ISERROR(C15)</f>
      </c>
    </row>
    <row r="16">
      <c r="A16" t="str">
        <v>H4</v>
      </c>
      <c r="B16">
        <v>3</v>
      </c>
      <c r="C16">
        <f>'kinhte'!H4</f>
      </c>
      <c r="D16">
        <f>IF(ISERROR(C16),LEFT(B16&amp;"",1)="#",IF(ISNUMBER(C16),AND(ISNUMBER(B16),ABS(C16-B16)&lt;=0.000001*MAX(1,ABS(B16))),EXACT(C16&amp;"",B16&amp;"")))</f>
      </c>
      <c r="E16">
        <f>ISERROR(C16)</f>
      </c>
    </row>
    <row r="17">
      <c r="A17" t="str">
        <v>H5</v>
      </c>
      <c r="B17">
        <v>4</v>
      </c>
      <c r="C17">
        <f>'kinhte'!H5</f>
      </c>
      <c r="D17">
        <f>IF(ISERROR(C17),LEFT(B17&amp;"",1)="#",IF(ISNUMBER(C17),AND(ISNUMBER(B17),ABS(C17-B17)&lt;=0.000001*MAX(1,ABS(B17))),EXACT(C17&amp;"",B17&amp;"")))</f>
      </c>
      <c r="E17">
        <f>ISERROR(C17)</f>
      </c>
    </row>
    <row r="18">
      <c r="A18" t="str">
        <v>H6</v>
      </c>
      <c r="B18">
        <v>5</v>
      </c>
      <c r="C18">
        <f>'kinhte'!H6</f>
      </c>
      <c r="D18">
        <f>IF(ISERROR(C18),LEFT(B18&amp;"",1)="#",IF(ISNUMBER(C18),AND(ISNUMBER(B18),ABS(C18-B18)&lt;=0.000001*MAX(1,ABS(B18))),EXACT(C18&amp;"",B18&amp;"")))</f>
      </c>
      <c r="E18">
        <f>ISERROR(C18)</f>
      </c>
    </row>
    <row r="19">
      <c r="A19" t="str">
        <v>H7</v>
      </c>
      <c r="B19">
        <v>6</v>
      </c>
      <c r="C19">
        <f>'kinhte'!H7</f>
      </c>
      <c r="D19">
        <f>IF(ISERROR(C19),LEFT(B19&amp;"",1)="#",IF(ISNUMBER(C19),AND(ISNUMBER(B19),ABS(C19-B19)&lt;=0.000001*MAX(1,ABS(B19))),EXACT(C19&amp;"",B19&amp;"")))</f>
      </c>
      <c r="E19">
        <f>ISERROR(C19)</f>
      </c>
    </row>
    <row r="20">
      <c r="A20" t="str">
        <v>H8</v>
      </c>
      <c r="B20">
        <v>7</v>
      </c>
      <c r="C20">
        <f>'kinhte'!H8</f>
      </c>
      <c r="D20">
        <f>IF(ISERROR(C20),LEFT(B20&amp;"",1)="#",IF(ISNUMBER(C20),AND(ISNUMBER(B20),ABS(C20-B20)&lt;=0.000001*MAX(1,ABS(B20))),EXACT(C20&amp;"",B20&amp;"")))</f>
      </c>
      <c r="E20">
        <f>ISERROR(C20)</f>
      </c>
    </row>
    <row r="21">
      <c r="A21" t="str">
        <v>H9</v>
      </c>
      <c r="B21">
        <v>8</v>
      </c>
      <c r="C21">
        <f>'kinhte'!H9</f>
      </c>
      <c r="D21">
        <f>IF(ISERROR(C21),LEFT(B21&amp;"",1)="#",IF(ISNUMBER(C21),AND(ISNUMBER(B21),ABS(C21-B21)&lt;=0.000001*MAX(1,ABS(B21))),EXACT(C21&amp;"",B21&amp;"")))</f>
      </c>
      <c r="E21">
        <f>ISERROR(C21)</f>
      </c>
    </row>
    <row r="22">
      <c r="A22" t="str">
        <v>H10</v>
      </c>
      <c r="B22">
        <v>9</v>
      </c>
      <c r="C22">
        <f>'kinhte'!H10</f>
      </c>
      <c r="D22">
        <f>IF(ISERROR(C22),LEFT(B22&amp;"",1)="#",IF(ISNUMBER(C22),AND(ISNUMBER(B22),ABS(C22-B22)&lt;=0.000001*MAX(1,ABS(B22))),EXACT(C22&amp;"",B22&amp;"")))</f>
      </c>
      <c r="E22">
        <f>ISERROR(C22)</f>
      </c>
    </row>
    <row r="23">
      <c r="A23" t="str">
        <v>H11</v>
      </c>
      <c r="B23">
        <v>10</v>
      </c>
      <c r="C23">
        <f>'kinhte'!H11</f>
      </c>
      <c r="D23">
        <f>IF(ISERROR(C23),LEFT(B23&amp;"",1)="#",IF(ISNUMBER(C23),AND(ISNUMBER(B23),ABS(C23-B23)&lt;=0.000001*MAX(1,ABS(B23))),EXACT(C23&amp;"",B23&amp;"")))</f>
      </c>
      <c r="E23">
        <f>ISERROR(C23)</f>
      </c>
    </row>
    <row r="24">
      <c r="A24" t="str">
        <v>H12</v>
      </c>
      <c r="B24">
        <v>11</v>
      </c>
      <c r="C24">
        <f>'kinhte'!H12</f>
      </c>
      <c r="D24">
        <f>IF(ISERROR(C24),LEFT(B24&amp;"",1)="#",IF(ISNUMBER(C24),AND(ISNUMBER(B24),ABS(C24-B24)&lt;=0.000001*MAX(1,ABS(B24))),EXACT(C24&amp;"",B24&amp;"")))</f>
      </c>
      <c r="E24">
        <f>ISERROR(C24)</f>
      </c>
    </row>
    <row r="25">
      <c r="A25" t="str">
        <v>H13</v>
      </c>
      <c r="B25">
        <v>12</v>
      </c>
      <c r="C25">
        <f>'kinhte'!H13</f>
      </c>
      <c r="D25">
        <f>IF(ISERROR(C25),LEFT(B25&amp;"",1)="#",IF(ISNUMBER(C25),AND(ISNUMBER(B25),ABS(C25-B25)&lt;=0.000001*MAX(1,ABS(B25))),EXACT(C25&amp;"",B25&amp;"")))</f>
      </c>
      <c r="E25">
        <f>ISERROR(C25)</f>
      </c>
    </row>
    <row r="26">
      <c r="A26" t="str">
        <v>I2</v>
      </c>
      <c r="B26">
        <v>0.08</v>
      </c>
      <c r="C26">
        <f>'kinhte'!I2</f>
      </c>
      <c r="D26">
        <f>IF(ISERROR(C26),LEFT(B26&amp;"",1)="#",IF(ISNUMBER(C26),AND(ISNUMBER(B26),ABS(C26-B26)&lt;=0.000001*MAX(1,ABS(B26))),EXACT(C26&amp;"",B26&amp;"")))</f>
      </c>
      <c r="E26">
        <f>ISERROR(C26)</f>
      </c>
    </row>
    <row r="27">
      <c r="A27" t="str">
        <v>I3</v>
      </c>
      <c r="B27">
        <v>0.12</v>
      </c>
      <c r="C27">
        <f>'kinhte'!I3</f>
      </c>
      <c r="D27">
        <f>IF(ISERROR(C27),LEFT(B27&amp;"",1)="#",IF(ISNUMBER(C27),AND(ISNUMBER(B27),ABS(C27-B27)&lt;=0.000001*MAX(1,ABS(B27))),EXACT(C27&amp;"",B27&amp;"")))</f>
      </c>
      <c r="E27">
        <f>ISERROR(C27)</f>
      </c>
    </row>
    <row r="28">
      <c r="A28" t="str">
        <v>I4</v>
      </c>
      <c r="B28">
        <v>0.15</v>
      </c>
      <c r="C28">
        <f>'kinhte'!I4</f>
      </c>
      <c r="D28">
        <f>IF(ISERROR(C28),LEFT(B28&amp;"",1)="#",IF(ISNUMBER(C28),AND(ISNUMBER(B28),ABS(C28-B28)&lt;=0.000001*MAX(1,ABS(B28))),EXACT(C28&amp;"",B28&amp;"")))</f>
      </c>
      <c r="E28">
        <f>ISERROR(C28)</f>
      </c>
    </row>
    <row r="29">
      <c r="A29" t="str">
        <v>I5</v>
      </c>
      <c r="B29">
        <v>0.15</v>
      </c>
      <c r="C29">
        <f>'kinhte'!I5</f>
      </c>
      <c r="D29">
        <f>IF(ISERROR(C29),LEFT(B29&amp;"",1)="#",IF(ISNUMBER(C29),AND(ISNUMBER(B29),ABS(C29-B29)&lt;=0.000001*MAX(1,ABS(B29))),EXACT(C29&amp;"",B29&amp;"")))</f>
      </c>
      <c r="E29">
        <f>ISERROR(C29)</f>
      </c>
    </row>
    <row r="30">
      <c r="A30" t="str">
        <v>I6</v>
      </c>
      <c r="B30">
        <v>0.08</v>
      </c>
      <c r="C30">
        <f>'kinhte'!I6</f>
      </c>
      <c r="D30">
        <f>IF(ISERROR(C30),LEFT(B30&amp;"",1)="#",IF(ISNUMBER(C30),AND(ISNUMBER(B30),ABS(C30-B30)&lt;=0.000001*MAX(1,ABS(B30))),EXACT(C30&amp;"",B30&amp;"")))</f>
      </c>
      <c r="E30">
        <f>ISERROR(C30)</f>
      </c>
    </row>
    <row r="31">
      <c r="A31" t="str">
        <v>I7</v>
      </c>
      <c r="B31">
        <v>0.15</v>
      </c>
      <c r="C31">
        <f>'kinhte'!I7</f>
      </c>
      <c r="D31">
        <f>IF(ISERROR(C31),LEFT(B31&amp;"",1)="#",IF(ISNUMBER(C31),AND(ISNUMBER(B31),ABS(C31-B31)&lt;=0.000001*MAX(1,ABS(B31))),EXACT(C31&amp;"",B31&amp;"")))</f>
      </c>
      <c r="E31">
        <f>ISERROR(C31)</f>
      </c>
    </row>
    <row r="32">
      <c r="A32" t="str">
        <v>I8</v>
      </c>
      <c r="B32">
        <v>0.12</v>
      </c>
      <c r="C32">
        <f>'kinhte'!I8</f>
      </c>
      <c r="D32">
        <f>IF(ISERROR(C32),LEFT(B32&amp;"",1)="#",IF(ISNUMBER(C32),AND(ISNUMBER(B32),ABS(C32-B32)&lt;=0.000001*MAX(1,ABS(B32))),EXACT(C32&amp;"",B32&amp;"")))</f>
      </c>
      <c r="E32">
        <f>ISERROR(C32)</f>
      </c>
    </row>
    <row r="33">
      <c r="A33" t="str">
        <v>I9</v>
      </c>
      <c r="B33">
        <v>0.12</v>
      </c>
      <c r="C33">
        <f>'kinhte'!I9</f>
      </c>
      <c r="D33">
        <f>IF(ISERROR(C33),LEFT(B33&amp;"",1)="#",IF(ISNUMBER(C33),AND(ISNUMBER(B33),ABS(C33-B33)&lt;=0.000001*MAX(1,ABS(B33))),EXACT(C33&amp;"",B33&amp;"")))</f>
      </c>
      <c r="E33">
        <f>ISERROR(C33)</f>
      </c>
    </row>
    <row r="34">
      <c r="A34" t="str">
        <v>I10</v>
      </c>
      <c r="B34">
        <v>0.08</v>
      </c>
      <c r="C34">
        <f>'kinhte'!I10</f>
      </c>
      <c r="D34">
        <f>IF(ISERROR(C34),LEFT(B34&amp;"",1)="#",IF(ISNUMBER(C34),AND(ISNUMBER(B34),ABS(C34-B34)&lt;=0.000001*MAX(1,ABS(B34))),EXACT(C34&amp;"",B34&amp;"")))</f>
      </c>
      <c r="E34">
        <f>ISERROR(C34)</f>
      </c>
    </row>
    <row r="35">
      <c r="A35" t="str">
        <v>I11</v>
      </c>
      <c r="B35">
        <v>0.12</v>
      </c>
      <c r="C35">
        <f>'kinhte'!I11</f>
      </c>
      <c r="D35">
        <f>IF(ISERROR(C35),LEFT(B35&amp;"",1)="#",IF(ISNUMBER(C35),AND(ISNUMBER(B35),ABS(C35-B35)&lt;=0.000001*MAX(1,ABS(B35))),EXACT(C35&amp;"",B35&amp;"")))</f>
      </c>
      <c r="E35">
        <f>ISERROR(C35)</f>
      </c>
    </row>
    <row r="36">
      <c r="A36" t="str">
        <v>I12</v>
      </c>
      <c r="B36">
        <v>0.08</v>
      </c>
      <c r="C36">
        <f>'kinhte'!I12</f>
      </c>
      <c r="D36">
        <f>IF(ISERROR(C36),LEFT(B36&amp;"",1)="#",IF(ISNUMBER(C36),AND(ISNUMBER(B36),ABS(C36-B36)&lt;=0.000001*MAX(1,ABS(B36))),EXACT(C36&amp;"",B36&amp;"")))</f>
      </c>
      <c r="E36">
        <f>ISERROR(C36)</f>
      </c>
    </row>
    <row r="37">
      <c r="A37" t="str">
        <v>I13</v>
      </c>
      <c r="B37">
        <v>0.08</v>
      </c>
      <c r="C37">
        <f>'kinhte'!I13</f>
      </c>
      <c r="D37">
        <f>IF(ISERROR(C37),LEFT(B37&amp;"",1)="#",IF(ISNUMBER(C37),AND(ISNUMBER(B37),ABS(C37-B37)&lt;=0.000001*MAX(1,ABS(B37))),EXACT(C37&amp;"",B37&amp;"")))</f>
      </c>
      <c r="E37">
        <f>ISERROR(C37)</f>
      </c>
    </row>
    <row r="38">
      <c r="A38" t="str">
        <v>J2</v>
      </c>
      <c r="B38">
        <v>95</v>
      </c>
      <c r="C38">
        <f>'kinhte'!J2</f>
      </c>
      <c r="D38">
        <f>IF(ISERROR(C38),LEFT(B38&amp;"",1)="#",IF(ISNUMBER(C38),AND(ISNUMBER(B38),ABS(C38-B38)&lt;=0.000001*MAX(1,ABS(B38))),EXACT(C38&amp;"",B38&amp;"")))</f>
      </c>
      <c r="E38">
        <f>ISERROR(C38)</f>
      </c>
    </row>
    <row r="39">
      <c r="A39" t="str">
        <v>J3</v>
      </c>
      <c r="B39">
        <v>48</v>
      </c>
      <c r="C39">
        <f>'kinhte'!J3</f>
      </c>
      <c r="D39">
        <f>IF(ISERROR(C39),LEFT(B39&amp;"",1)="#",IF(ISNUMBER(C39),AND(ISNUMBER(B39),ABS(C39-B39)&lt;=0.000001*MAX(1,ABS(B39))),EXACT(C39&amp;"",B39&amp;"")))</f>
      </c>
      <c r="E39">
        <f>ISERROR(C39)</f>
      </c>
    </row>
    <row r="40">
      <c r="A40" t="str">
        <v>J4</v>
      </c>
      <c r="B40">
        <v>92</v>
      </c>
      <c r="C40">
        <f>'kinhte'!J4</f>
      </c>
      <c r="D40">
        <f>IF(ISERROR(C40),LEFT(B40&amp;"",1)="#",IF(ISNUMBER(C40),AND(ISNUMBER(B40),ABS(C40-B40)&lt;=0.000001*MAX(1,ABS(B40))),EXACT(C40&amp;"",B40&amp;"")))</f>
      </c>
      <c r="E40">
        <f>ISERROR(C40)</f>
      </c>
    </row>
    <row r="41">
      <c r="A41" t="str">
        <v>J5</v>
      </c>
      <c r="B41">
        <v>65</v>
      </c>
      <c r="C41">
        <f>'kinhte'!J5</f>
      </c>
      <c r="D41">
        <f>IF(ISERROR(C41),LEFT(B41&amp;"",1)="#",IF(ISNUMBER(C41),AND(ISNUMBER(B41),ABS(C41-B41)&lt;=0.000001*MAX(1,ABS(B41))),EXACT(C41&amp;"",B41&amp;"")))</f>
      </c>
      <c r="E41">
        <f>ISERROR(C41)</f>
      </c>
    </row>
    <row r="42">
      <c r="A42" t="str">
        <v>J6</v>
      </c>
      <c r="B42">
        <v>103</v>
      </c>
      <c r="C42">
        <f>'kinhte'!J6</f>
      </c>
      <c r="D42">
        <f>IF(ISERROR(C42),LEFT(B42&amp;"",1)="#",IF(ISNUMBER(C42),AND(ISNUMBER(B42),ABS(C42-B42)&lt;=0.000001*MAX(1,ABS(B42))),EXACT(C42&amp;"",B42&amp;"")))</f>
      </c>
      <c r="E42">
        <f>ISERROR(C42)</f>
      </c>
    </row>
    <row r="43">
      <c r="A43" t="str">
        <v>J7</v>
      </c>
      <c r="B43">
        <v>23</v>
      </c>
      <c r="C43">
        <f>'kinhte'!J7</f>
      </c>
      <c r="D43">
        <f>IF(ISERROR(C43),LEFT(B43&amp;"",1)="#",IF(ISNUMBER(C43),AND(ISNUMBER(B43),ABS(C43-B43)&lt;=0.000001*MAX(1,ABS(B43))),EXACT(C43&amp;"",B43&amp;"")))</f>
      </c>
      <c r="E43">
        <f>ISERROR(C43)</f>
      </c>
    </row>
    <row r="44">
      <c r="A44" t="str">
        <v>J8</v>
      </c>
      <c r="B44">
        <v>116</v>
      </c>
      <c r="C44">
        <f>'kinhte'!J8</f>
      </c>
      <c r="D44">
        <f>IF(ISERROR(C44),LEFT(B44&amp;"",1)="#",IF(ISNUMBER(C44),AND(ISNUMBER(B44),ABS(C44-B44)&lt;=0.000001*MAX(1,ABS(B44))),EXACT(C44&amp;"",B44&amp;"")))</f>
      </c>
      <c r="E44">
        <f>ISERROR(C44)</f>
      </c>
    </row>
    <row r="45">
      <c r="A45" t="str">
        <v>J9</v>
      </c>
      <c r="B45">
        <v>79</v>
      </c>
      <c r="C45">
        <f>'kinhte'!J9</f>
      </c>
      <c r="D45">
        <f>IF(ISERROR(C45),LEFT(B45&amp;"",1)="#",IF(ISNUMBER(C45),AND(ISNUMBER(B45),ABS(C45-B45)&lt;=0.000001*MAX(1,ABS(B45))),EXACT(C45&amp;"",B45&amp;"")))</f>
      </c>
      <c r="E45">
        <f>ISERROR(C45)</f>
      </c>
    </row>
    <row r="46">
      <c r="A46" t="str">
        <v>J10</v>
      </c>
      <c r="B46">
        <v>62</v>
      </c>
      <c r="C46">
        <f>'kinhte'!J10</f>
      </c>
      <c r="D46">
        <f>IF(ISERROR(C46),LEFT(B46&amp;"",1)="#",IF(ISNUMBER(C46),AND(ISNUMBER(B46),ABS(C46-B46)&lt;=0.000001*MAX(1,ABS(B46))),EXACT(C46&amp;"",B46&amp;"")))</f>
      </c>
      <c r="E46">
        <f>ISERROR(C46)</f>
      </c>
    </row>
    <row r="47">
      <c r="A47" t="str">
        <v>J11</v>
      </c>
      <c r="B47">
        <v>49</v>
      </c>
      <c r="C47">
        <f>'kinhte'!J11</f>
      </c>
      <c r="D47">
        <f>IF(ISERROR(C47),LEFT(B47&amp;"",1)="#",IF(ISNUMBER(C47),AND(ISNUMBER(B47),ABS(C47-B47)&lt;=0.000001*MAX(1,ABS(B47))),EXACT(C47&amp;"",B47&amp;"")))</f>
      </c>
      <c r="E47">
        <f>ISERROR(C47)</f>
      </c>
    </row>
    <row r="48">
      <c r="A48" t="str">
        <v>J12</v>
      </c>
      <c r="B48">
        <v>8</v>
      </c>
      <c r="C48">
        <f>'kinhte'!J12</f>
      </c>
      <c r="D48">
        <f>IF(ISERROR(C48),LEFT(B48&amp;"",1)="#",IF(ISNUMBER(C48),AND(ISNUMBER(B48),ABS(C48-B48)&lt;=0.000001*MAX(1,ABS(B48))),EXACT(C48&amp;"",B48&amp;"")))</f>
      </c>
      <c r="E48">
        <f>ISERROR(C48)</f>
      </c>
    </row>
    <row r="49">
      <c r="A49" t="str">
        <v>J13</v>
      </c>
      <c r="B49">
        <v>246</v>
      </c>
      <c r="C49">
        <f>'kinhte'!J13</f>
      </c>
      <c r="D49">
        <f>IF(ISERROR(C49),LEFT(B49&amp;"",1)="#",IF(ISNUMBER(C49),AND(ISNUMBER(B49),ABS(C49-B49)&lt;=0.000001*MAX(1,ABS(B49))),EXACT(C49&amp;"",B49&amp;"")))</f>
      </c>
      <c r="E49">
        <f>ISERROR(C49)</f>
      </c>
    </row>
    <row r="50">
      <c r="A50" t="str">
        <v>K2</v>
      </c>
      <c r="B50">
        <v>0.1338</v>
      </c>
      <c r="C50">
        <f>'kinhte'!K2</f>
      </c>
      <c r="D50">
        <f>IF(ISERROR(C50),LEFT(B50&amp;"",1)="#",IF(ISNUMBER(C50),AND(ISNUMBER(B50),ABS(C50-B50)&lt;=0.000001*MAX(1,ABS(B50))),EXACT(C50&amp;"",B50&amp;"")))</f>
      </c>
      <c r="E50">
        <f>ISERROR(C50)</f>
      </c>
    </row>
    <row r="51">
      <c r="A51" t="str">
        <v>K3</v>
      </c>
      <c r="B51">
        <v>0.0536</v>
      </c>
      <c r="C51">
        <f>'kinhte'!K3</f>
      </c>
      <c r="D51">
        <f>IF(ISERROR(C51),LEFT(B51&amp;"",1)="#",IF(ISNUMBER(C51),AND(ISNUMBER(B51),ABS(C51-B51)&lt;=0.000001*MAX(1,ABS(B51))),EXACT(C51&amp;"",B51&amp;"")))</f>
      </c>
      <c r="E51">
        <f>ISERROR(C51)</f>
      </c>
    </row>
    <row r="52">
      <c r="A52" t="str">
        <v>K4</v>
      </c>
      <c r="B52">
        <v>0.1363</v>
      </c>
      <c r="C52">
        <f>'kinhte'!K4</f>
      </c>
      <c r="D52">
        <f>IF(ISERROR(C52),LEFT(B52&amp;"",1)="#",IF(ISNUMBER(C52),AND(ISNUMBER(B52),ABS(C52-B52)&lt;=0.000001*MAX(1,ABS(B52))),EXACT(C52&amp;"",B52&amp;"")))</f>
      </c>
      <c r="E52">
        <f>ISERROR(C52)</f>
      </c>
    </row>
    <row r="53">
      <c r="A53" t="str">
        <v>K5</v>
      </c>
      <c r="B53">
        <v>0.0756</v>
      </c>
      <c r="C53">
        <f>'kinhte'!K5</f>
      </c>
      <c r="D53">
        <f>IF(ISERROR(C53),LEFT(B53&amp;"",1)="#",IF(ISNUMBER(C53),AND(ISNUMBER(B53),ABS(C53-B53)&lt;=0.000001*MAX(1,ABS(B53))),EXACT(C53&amp;"",B53&amp;"")))</f>
      </c>
      <c r="E53">
        <f>ISERROR(C53)</f>
      </c>
    </row>
    <row r="54">
      <c r="A54" t="str">
        <v>K6</v>
      </c>
      <c r="B54">
        <v>0.112</v>
      </c>
      <c r="C54">
        <f>'kinhte'!K6</f>
      </c>
      <c r="D54">
        <f>IF(ISERROR(C54),LEFT(B54&amp;"",1)="#",IF(ISNUMBER(C54),AND(ISNUMBER(B54),ABS(C54-B54)&lt;=0.000001*MAX(1,ABS(B54))),EXACT(C54&amp;"",B54&amp;"")))</f>
      </c>
      <c r="E54">
        <f>ISERROR(C54)</f>
      </c>
    </row>
    <row r="55">
      <c r="A55" t="str">
        <v>K7</v>
      </c>
      <c r="B55">
        <v>0.0793</v>
      </c>
      <c r="C55">
        <f>'kinhte'!K7</f>
      </c>
      <c r="D55">
        <f>IF(ISERROR(C55),LEFT(B55&amp;"",1)="#",IF(ISNUMBER(C55),AND(ISNUMBER(B55),ABS(C55-B55)&lt;=0.000001*MAX(1,ABS(B55))),EXACT(C55&amp;"",B55&amp;"")))</f>
      </c>
      <c r="E55">
        <f>ISERROR(C55)</f>
      </c>
    </row>
    <row r="56">
      <c r="A56" t="str">
        <v>K8</v>
      </c>
      <c r="B56">
        <v>0.1215</v>
      </c>
      <c r="C56">
        <f>'kinhte'!K8</f>
      </c>
      <c r="D56">
        <f>IF(ISERROR(C56),LEFT(B56&amp;"",1)="#",IF(ISNUMBER(C56),AND(ISNUMBER(B56),ABS(C56-B56)&lt;=0.000001*MAX(1,ABS(B56))),EXACT(C56&amp;"",B56&amp;"")))</f>
      </c>
      <c r="E56">
        <f>ISERROR(C56)</f>
      </c>
    </row>
    <row r="57">
      <c r="A57" t="str">
        <v>K9</v>
      </c>
      <c r="B57">
        <v>0.1756</v>
      </c>
      <c r="C57">
        <f>'kinhte'!K9</f>
      </c>
      <c r="D57">
        <f>IF(ISERROR(C57),LEFT(B57&amp;"",1)="#",IF(ISNUMBER(C57),AND(ISNUMBER(B57),ABS(C57-B57)&lt;=0.000001*MAX(1,ABS(B57))),EXACT(C57&amp;"",B57&amp;"")))</f>
      </c>
      <c r="E57">
        <f>ISERROR(C57)</f>
      </c>
    </row>
    <row r="58">
      <c r="A58" t="str">
        <v>K10</v>
      </c>
      <c r="B58">
        <v>0.1409</v>
      </c>
      <c r="C58">
        <f>'kinhte'!K10</f>
      </c>
      <c r="D58">
        <f>IF(ISERROR(C58),LEFT(B58&amp;"",1)="#",IF(ISNUMBER(C58),AND(ISNUMBER(B58),ABS(C58-B58)&lt;=0.000001*MAX(1,ABS(B58))),EXACT(C58&amp;"",B58&amp;"")))</f>
      </c>
      <c r="E58">
        <f>ISERROR(C58)</f>
      </c>
    </row>
    <row r="59">
      <c r="A59" t="str">
        <v>K11</v>
      </c>
      <c r="B59">
        <v>0.0754</v>
      </c>
      <c r="C59">
        <f>'kinhte'!K11</f>
      </c>
      <c r="D59">
        <f>IF(ISERROR(C59),LEFT(B59&amp;"",1)="#",IF(ISNUMBER(C59),AND(ISNUMBER(B59),ABS(C59-B59)&lt;=0.000001*MAX(1,ABS(B59))),EXACT(C59&amp;"",B59&amp;"")))</f>
      </c>
      <c r="E59">
        <f>ISERROR(C59)</f>
      </c>
    </row>
    <row r="60">
      <c r="A60" t="str">
        <v>K12</v>
      </c>
      <c r="B60">
        <v>0.0762</v>
      </c>
      <c r="C60">
        <f>'kinhte'!K12</f>
      </c>
      <c r="D60">
        <f>IF(ISERROR(C60),LEFT(B60&amp;"",1)="#",IF(ISNUMBER(C60),AND(ISNUMBER(B60),ABS(C60-B60)&lt;=0.000001*MAX(1,ABS(B60))),EXACT(C60&amp;"",B60&amp;"")))</f>
      </c>
      <c r="E60">
        <f>ISERROR(C60)</f>
      </c>
    </row>
    <row r="61">
      <c r="A61" t="str">
        <v>K13</v>
      </c>
      <c r="B61">
        <v>0.251</v>
      </c>
      <c r="C61">
        <f>'kinhte'!K13</f>
      </c>
      <c r="D61">
        <f>IF(ISERROR(C61),LEFT(B61&amp;"",1)="#",IF(ISNUMBER(C61),AND(ISNUMBER(B61),ABS(C61-B61)&lt;=0.000001*MAX(1,ABS(B61))),EXACT(C61&amp;"",B61&amp;"")))</f>
      </c>
      <c r="E61">
        <f>ISERROR(C61)</f>
      </c>
    </row>
    <row r="62">
      <c r="A62" t="str">
        <v>L2</v>
      </c>
      <c r="B62">
        <v>7.5</v>
      </c>
      <c r="C62">
        <f>'kinhte'!L2</f>
      </c>
      <c r="D62">
        <f>IF(ISERROR(C62),LEFT(B62&amp;"",1)="#",IF(ISNUMBER(C62),AND(ISNUMBER(B62),ABS(C62-B62)&lt;=0.000001*MAX(1,ABS(B62))),EXACT(C62&amp;"",B62&amp;"")))</f>
      </c>
      <c r="E62">
        <f>ISERROR(C62)</f>
      </c>
    </row>
    <row r="63">
      <c r="A63" t="str">
        <v>L3</v>
      </c>
      <c r="B63">
        <v>18.6</v>
      </c>
      <c r="C63">
        <f>'kinhte'!L3</f>
      </c>
      <c r="D63">
        <f>IF(ISERROR(C63),LEFT(B63&amp;"",1)="#",IF(ISNUMBER(C63),AND(ISNUMBER(B63),ABS(C63-B63)&lt;=0.000001*MAX(1,ABS(B63))),EXACT(C63&amp;"",B63&amp;"")))</f>
      </c>
      <c r="E63">
        <f>ISERROR(C63)</f>
      </c>
    </row>
    <row r="64">
      <c r="A64" t="str">
        <v>L4</v>
      </c>
      <c r="B64">
        <v>7.3</v>
      </c>
      <c r="C64">
        <f>'kinhte'!L4</f>
      </c>
      <c r="D64">
        <f>IF(ISERROR(C64),LEFT(B64&amp;"",1)="#",IF(ISNUMBER(C64),AND(ISNUMBER(B64),ABS(C64-B64)&lt;=0.000001*MAX(1,ABS(B64))),EXACT(C64&amp;"",B64&amp;"")))</f>
      </c>
      <c r="E64">
        <f>ISERROR(C64)</f>
      </c>
    </row>
    <row r="65">
      <c r="A65" t="str">
        <v>L5</v>
      </c>
      <c r="B65">
        <v>13.2</v>
      </c>
      <c r="C65">
        <f>'kinhte'!L5</f>
      </c>
      <c r="D65">
        <f>IF(ISERROR(C65),LEFT(B65&amp;"",1)="#",IF(ISNUMBER(C65),AND(ISNUMBER(B65),ABS(C65-B65)&lt;=0.000001*MAX(1,ABS(B65))),EXACT(C65&amp;"",B65&amp;"")))</f>
      </c>
      <c r="E65">
        <f>ISERROR(C65)</f>
      </c>
    </row>
    <row r="66">
      <c r="A66" t="str">
        <v>L6</v>
      </c>
      <c r="B66">
        <v>8.9</v>
      </c>
      <c r="C66">
        <f>'kinhte'!L6</f>
      </c>
      <c r="D66">
        <f>IF(ISERROR(C66),LEFT(B66&amp;"",1)="#",IF(ISNUMBER(C66),AND(ISNUMBER(B66),ABS(C66-B66)&lt;=0.000001*MAX(1,ABS(B66))),EXACT(C66&amp;"",B66&amp;"")))</f>
      </c>
      <c r="E66">
        <f>ISERROR(C66)</f>
      </c>
    </row>
    <row r="67">
      <c r="A67" t="str">
        <v>L7</v>
      </c>
      <c r="B67">
        <v>12.6</v>
      </c>
      <c r="C67">
        <f>'kinhte'!L7</f>
      </c>
      <c r="D67">
        <f>IF(ISERROR(C67),LEFT(B67&amp;"",1)="#",IF(ISNUMBER(C67),AND(ISNUMBER(B67),ABS(C67-B67)&lt;=0.000001*MAX(1,ABS(B67))),EXACT(C67&amp;"",B67&amp;"")))</f>
      </c>
      <c r="E67">
        <f>ISERROR(C67)</f>
      </c>
    </row>
    <row r="68">
      <c r="A68" t="str">
        <v>L8</v>
      </c>
      <c r="B68">
        <v>8.2</v>
      </c>
      <c r="C68">
        <f>'kinhte'!L8</f>
      </c>
      <c r="D68">
        <f>IF(ISERROR(C68),LEFT(B68&amp;"",1)="#",IF(ISNUMBER(C68),AND(ISNUMBER(B68),ABS(C68-B68)&lt;=0.000001*MAX(1,ABS(B68))),EXACT(C68&amp;"",B68&amp;"")))</f>
      </c>
      <c r="E68">
        <f>ISERROR(C68)</f>
      </c>
    </row>
    <row r="69">
      <c r="A69" t="str">
        <v>L9</v>
      </c>
      <c r="B69">
        <v>5.7</v>
      </c>
      <c r="C69">
        <f>'kinhte'!L9</f>
      </c>
      <c r="D69">
        <f>IF(ISERROR(C69),LEFT(B69&amp;"",1)="#",IF(ISNUMBER(C69),AND(ISNUMBER(B69),ABS(C69-B69)&lt;=0.000001*MAX(1,ABS(B69))),EXACT(C69&amp;"",B69&amp;"")))</f>
      </c>
      <c r="E69">
        <f>ISERROR(C69)</f>
      </c>
    </row>
    <row r="70">
      <c r="A70" t="str">
        <v>L10</v>
      </c>
      <c r="B70">
        <v>7.1</v>
      </c>
      <c r="C70">
        <f>'kinhte'!L10</f>
      </c>
      <c r="D70">
        <f>IF(ISERROR(C70),LEFT(B70&amp;"",1)="#",IF(ISNUMBER(C70),AND(ISNUMBER(B70),ABS(C70-B70)&lt;=0.000001*MAX(1,ABS(B70))),EXACT(C70&amp;"",B70&amp;"")))</f>
      </c>
      <c r="E70">
        <f>ISERROR(C70)</f>
      </c>
    </row>
    <row r="71">
      <c r="A71" t="str">
        <v>L11</v>
      </c>
      <c r="B71">
        <v>13.3</v>
      </c>
      <c r="C71">
        <f>'kinhte'!L11</f>
      </c>
      <c r="D71">
        <f>IF(ISERROR(C71),LEFT(B71&amp;"",1)="#",IF(ISNUMBER(C71),AND(ISNUMBER(B71),ABS(C71-B71)&lt;=0.000001*MAX(1,ABS(B71))),EXACT(C71&amp;"",B71&amp;"")))</f>
      </c>
      <c r="E71">
        <f>ISERROR(C71)</f>
      </c>
    </row>
    <row r="72">
      <c r="A72" t="str">
        <v>L12</v>
      </c>
      <c r="B72">
        <v>13.1</v>
      </c>
      <c r="C72">
        <f>'kinhte'!L12</f>
      </c>
      <c r="D72">
        <f>IF(ISERROR(C72),LEFT(B72&amp;"",1)="#",IF(ISNUMBER(C72),AND(ISNUMBER(B72),ABS(C72-B72)&lt;=0.000001*MAX(1,ABS(B72))),EXACT(C72&amp;"",B72&amp;"")))</f>
      </c>
      <c r="E72">
        <f>ISERROR(C72)</f>
      </c>
    </row>
    <row r="73">
      <c r="A73" t="str">
        <v>L13</v>
      </c>
      <c r="B73">
        <v>4</v>
      </c>
      <c r="C73">
        <f>'kinhte'!L13</f>
      </c>
      <c r="D73">
        <f>IF(ISERROR(C73),LEFT(B73&amp;"",1)="#",IF(ISNUMBER(C73),AND(ISNUMBER(B73),ABS(C73-B73)&lt;=0.000001*MAX(1,ABS(B73))),EXACT(C73&amp;"",B73&amp;"")))</f>
      </c>
      <c r="E73">
        <f>ISERROR(C73)</f>
      </c>
    </row>
    <row r="74">
      <c r="A74" t="str">
        <v>M2</v>
      </c>
      <c r="B74">
        <v>21.6</v>
      </c>
      <c r="C74">
        <f>'kinhte'!M2</f>
      </c>
      <c r="D74">
        <f>IF(ISERROR(C74),LEFT(B74&amp;"",1)="#",IF(ISNUMBER(C74),AND(ISNUMBER(B74),ABS(C74-B74)&lt;=0.000001*MAX(1,ABS(B74))),EXACT(C74&amp;"",B74&amp;"")))</f>
      </c>
      <c r="E74">
        <f>ISERROR(C74)</f>
      </c>
    </row>
    <row r="75">
      <c r="A75" t="str">
        <v>M3</v>
      </c>
      <c r="B75">
        <v>13.95</v>
      </c>
      <c r="C75">
        <f>'kinhte'!M3</f>
      </c>
      <c r="D75">
        <f>IF(ISERROR(C75),LEFT(B75&amp;"",1)="#",IF(ISNUMBER(C75),AND(ISNUMBER(B75),ABS(C75-B75)&lt;=0.000001*MAX(1,ABS(B75))),EXACT(C75&amp;"",B75&amp;"")))</f>
      </c>
      <c r="E75">
        <f>ISERROR(C75)</f>
      </c>
    </row>
    <row r="76">
      <c r="A76" t="str">
        <v>M4</v>
      </c>
      <c r="B76">
        <v>9.68</v>
      </c>
      <c r="C76">
        <f>'kinhte'!M4</f>
      </c>
      <c r="D76">
        <f>IF(ISERROR(C76),LEFT(B76&amp;"",1)="#",IF(ISNUMBER(C76),AND(ISNUMBER(B76),ABS(C76-B76)&lt;=0.000001*MAX(1,ABS(B76))),EXACT(C76&amp;"",B76&amp;"")))</f>
      </c>
      <c r="E76">
        <f>ISERROR(C76)</f>
      </c>
    </row>
    <row r="77">
      <c r="A77" t="str">
        <v>M5</v>
      </c>
      <c r="B77">
        <v>10.43</v>
      </c>
      <c r="C77">
        <f>'kinhte'!M5</f>
      </c>
      <c r="D77">
        <f>IF(ISERROR(C77),LEFT(B77&amp;"",1)="#",IF(ISNUMBER(C77),AND(ISNUMBER(B77),ABS(C77-B77)&lt;=0.000001*MAX(1,ABS(B77))),EXACT(C77&amp;"",B77&amp;"")))</f>
      </c>
      <c r="E77">
        <f>ISERROR(C77)</f>
      </c>
    </row>
    <row r="78">
      <c r="A78" t="str">
        <v>M6</v>
      </c>
      <c r="B78">
        <v>29.26</v>
      </c>
      <c r="C78">
        <f>'kinhte'!M6</f>
      </c>
      <c r="D78">
        <f>IF(ISERROR(C78),LEFT(B78&amp;"",1)="#",IF(ISNUMBER(C78),AND(ISNUMBER(B78),ABS(C78-B78)&lt;=0.000001*MAX(1,ABS(B78))),EXACT(C78&amp;"",B78&amp;"")))</f>
      </c>
      <c r="E78">
        <f>ISERROR(C78)</f>
      </c>
    </row>
    <row r="79">
      <c r="A79" t="str">
        <v>M7</v>
      </c>
      <c r="B79">
        <v>3.83</v>
      </c>
      <c r="C79">
        <f>'kinhte'!M7</f>
      </c>
      <c r="D79">
        <f>IF(ISERROR(C79),LEFT(B79&amp;"",1)="#",IF(ISNUMBER(C79),AND(ISNUMBER(B79),ABS(C79-B79)&lt;=0.000001*MAX(1,ABS(B79))),EXACT(C79&amp;"",B79&amp;"")))</f>
      </c>
      <c r="E79">
        <f>ISERROR(C79)</f>
      </c>
    </row>
    <row r="80">
      <c r="A80" t="str">
        <v>M8</v>
      </c>
      <c r="B80">
        <v>31.72</v>
      </c>
      <c r="C80">
        <f>'kinhte'!M8</f>
      </c>
      <c r="D80">
        <f>IF(ISERROR(C80),LEFT(B80&amp;"",1)="#",IF(ISNUMBER(C80),AND(ISNUMBER(B80),ABS(C80-B80)&lt;=0.000001*MAX(1,ABS(B80))),EXACT(C80&amp;"",B80&amp;"")))</f>
      </c>
      <c r="E80">
        <f>ISERROR(C80)</f>
      </c>
    </row>
    <row r="81">
      <c r="A81" t="str">
        <v>M9</v>
      </c>
      <c r="B81">
        <v>5</v>
      </c>
      <c r="C81">
        <f>'kinhte'!M9</f>
      </c>
      <c r="D81">
        <f>IF(ISERROR(C81),LEFT(B81&amp;"",1)="#",IF(ISNUMBER(C81),AND(ISNUMBER(B81),ABS(C81-B81)&lt;=0.000001*MAX(1,ABS(B81))),EXACT(C81&amp;"",B81&amp;"")))</f>
      </c>
      <c r="E81">
        <f>ISERROR(C81)</f>
      </c>
    </row>
    <row r="82">
      <c r="A82" t="str">
        <v>M10</v>
      </c>
      <c r="B82">
        <v>7.08</v>
      </c>
      <c r="C82">
        <f>'kinhte'!M10</f>
      </c>
      <c r="D82">
        <f>IF(ISERROR(C82),LEFT(B82&amp;"",1)="#",IF(ISNUMBER(C82),AND(ISNUMBER(B82),ABS(C82-B82)&lt;=0.000001*MAX(1,ABS(B82))),EXACT(C82&amp;"",B82&amp;"")))</f>
      </c>
      <c r="E82">
        <f>ISERROR(C82)</f>
      </c>
    </row>
    <row r="83">
      <c r="A83" t="str">
        <v>M11</v>
      </c>
      <c r="B83">
        <v>20.97</v>
      </c>
      <c r="C83">
        <f>'kinhte'!M11</f>
      </c>
      <c r="D83">
        <f>IF(ISERROR(C83),LEFT(B83&amp;"",1)="#",IF(ISNUMBER(C83),AND(ISNUMBER(B83),ABS(C83-B83)&lt;=0.000001*MAX(1,ABS(B83))),EXACT(C83&amp;"",B83&amp;"")))</f>
      </c>
      <c r="E83">
        <f>ISERROR(C83)</f>
      </c>
    </row>
    <row r="84">
      <c r="A84" t="str">
        <v>M12</v>
      </c>
      <c r="B84">
        <v>1.64</v>
      </c>
      <c r="C84">
        <f>'kinhte'!M12</f>
      </c>
      <c r="D84">
        <f>IF(ISERROR(C84),LEFT(B84&amp;"",1)="#",IF(ISNUMBER(C84),AND(ISNUMBER(B84),ABS(C84-B84)&lt;=0.000001*MAX(1,ABS(B84))),EXACT(C84&amp;"",B84&amp;"")))</f>
      </c>
      <c r="E84">
        <f>ISERROR(C84)</f>
      </c>
    </row>
    <row r="85">
      <c r="A85" t="str">
        <v>M13</v>
      </c>
      <c r="B85">
        <v>10.88</v>
      </c>
      <c r="C85">
        <f>'kinhte'!M13</f>
      </c>
      <c r="D85">
        <f>IF(ISERROR(C85),LEFT(B85&amp;"",1)="#",IF(ISNUMBER(C85),AND(ISNUMBER(B85),ABS(C85-B85)&lt;=0.000001*MAX(1,ABS(B85))),EXACT(C85&amp;"",B85&amp;"")))</f>
      </c>
      <c r="E85">
        <f>ISERROR(C85)</f>
      </c>
    </row>
    <row r="86">
      <c r="A86" t="str">
        <v>N2</v>
      </c>
      <c r="B86">
        <v>67.58</v>
      </c>
      <c r="C86">
        <f>'kinhte'!N2</f>
      </c>
      <c r="D86">
        <f>IF(ISERROR(C86),LEFT(B86&amp;"",1)="#",IF(ISNUMBER(C86),AND(ISNUMBER(B86),ABS(C86-B86)&lt;=0.000001*MAX(1,ABS(B86))),EXACT(C86&amp;"",B86&amp;"")))</f>
      </c>
      <c r="E86">
        <f>ISERROR(C86)</f>
      </c>
    </row>
    <row r="87">
      <c r="A87" t="str">
        <v>N3</v>
      </c>
      <c r="B87">
        <v>276.77</v>
      </c>
      <c r="C87">
        <f>'kinhte'!N3</f>
      </c>
      <c r="D87">
        <f>IF(ISERROR(C87),LEFT(B87&amp;"",1)="#",IF(ISNUMBER(C87),AND(ISNUMBER(B87),ABS(C87-B87)&lt;=0.000001*MAX(1,ABS(B87))),EXACT(C87&amp;"",B87&amp;"")))</f>
      </c>
      <c r="E87">
        <f>ISERROR(C87)</f>
      </c>
    </row>
    <row r="88">
      <c r="A88" t="str">
        <v>N4</v>
      </c>
      <c r="B88">
        <v>487.11</v>
      </c>
      <c r="C88">
        <f>'kinhte'!N4</f>
      </c>
      <c r="D88">
        <f>IF(ISERROR(C88),LEFT(B88&amp;"",1)="#",IF(ISNUMBER(C88),AND(ISNUMBER(B88),ABS(C88-B88)&lt;=0.000001*MAX(1,ABS(B88))),EXACT(C88&amp;"",B88&amp;"")))</f>
      </c>
      <c r="E88">
        <f>ISERROR(C88)</f>
      </c>
    </row>
    <row r="89">
      <c r="A89" t="str">
        <v>N5</v>
      </c>
      <c r="B89">
        <v>392.1</v>
      </c>
      <c r="C89">
        <f>'kinhte'!N5</f>
      </c>
      <c r="D89">
        <f>IF(ISERROR(C89),LEFT(B89&amp;"",1)="#",IF(ISNUMBER(C89),AND(ISNUMBER(B89),ABS(C89-B89)&lt;=0.000001*MAX(1,ABS(B89))),EXACT(C89&amp;"",B89&amp;"")))</f>
      </c>
      <c r="E89">
        <f>ISERROR(C89)</f>
      </c>
    </row>
    <row r="90">
      <c r="A90" t="str">
        <v>N6</v>
      </c>
      <c r="B90">
        <v>133.21</v>
      </c>
      <c r="C90">
        <f>'kinhte'!N6</f>
      </c>
      <c r="D90">
        <f>IF(ISERROR(C90),LEFT(B90&amp;"",1)="#",IF(ISNUMBER(C90),AND(ISNUMBER(B90),ABS(C90-B90)&lt;=0.000001*MAX(1,ABS(B90))),EXACT(C90&amp;"",B90&amp;"")))</f>
      </c>
      <c r="E90">
        <f>ISERROR(C90)</f>
      </c>
    </row>
    <row r="91">
      <c r="A91" t="str">
        <v>N7</v>
      </c>
      <c r="B91">
        <v>169.88</v>
      </c>
      <c r="C91">
        <f>'kinhte'!N7</f>
      </c>
      <c r="D91">
        <f>IF(ISERROR(C91),LEFT(B91&amp;"",1)="#",IF(ISNUMBER(C91),AND(ISNUMBER(B91),ABS(C91-B91)&lt;=0.000001*MAX(1,ABS(B91))),EXACT(C91&amp;"",B91&amp;"")))</f>
      </c>
      <c r="E91">
        <f>ISERROR(C91)</f>
      </c>
    </row>
    <row r="92">
      <c r="A92" t="str">
        <v>N8</v>
      </c>
      <c r="B92">
        <v>186.91</v>
      </c>
      <c r="C92">
        <f>'kinhte'!N8</f>
      </c>
      <c r="D92">
        <f>IF(ISERROR(C92),LEFT(B92&amp;"",1)="#",IF(ISNUMBER(C92),AND(ISNUMBER(B92),ABS(C92-B92)&lt;=0.000001*MAX(1,ABS(B92))),EXACT(C92&amp;"",B92&amp;"")))</f>
      </c>
      <c r="E92">
        <f>ISERROR(C92)</f>
      </c>
    </row>
    <row r="93">
      <c r="A93" t="str">
        <v>N9</v>
      </c>
      <c r="B93">
        <v>149.51</v>
      </c>
      <c r="C93">
        <f>'kinhte'!N9</f>
      </c>
      <c r="D93">
        <f>IF(ISERROR(C93),LEFT(B93&amp;"",1)="#",IF(ISNUMBER(C93),AND(ISNUMBER(B93),ABS(C93-B93)&lt;=0.000001*MAX(1,ABS(B93))),EXACT(C93&amp;"",B93&amp;"")))</f>
      </c>
      <c r="E93">
        <f>ISERROR(C93)</f>
      </c>
    </row>
    <row r="94">
      <c r="A94" t="str">
        <v>N10</v>
      </c>
      <c r="B94">
        <v>154.65</v>
      </c>
      <c r="C94">
        <f>'kinhte'!N10</f>
      </c>
      <c r="D94">
        <f>IF(ISERROR(C94),LEFT(B94&amp;"",1)="#",IF(ISNUMBER(C94),AND(ISNUMBER(B94),ABS(C94-B94)&lt;=0.000001*MAX(1,ABS(B94))),EXACT(C94&amp;"",B94&amp;"")))</f>
      </c>
      <c r="E94">
        <f>ISERROR(C94)</f>
      </c>
    </row>
    <row r="95">
      <c r="A95" t="str">
        <v>N11</v>
      </c>
      <c r="B95">
        <v>105.05</v>
      </c>
      <c r="C95">
        <f>'kinhte'!N11</f>
      </c>
      <c r="D95">
        <f>IF(ISERROR(C95),LEFT(B95&amp;"",1)="#",IF(ISNUMBER(C95),AND(ISNUMBER(B95),ABS(C95-B95)&lt;=0.000001*MAX(1,ABS(B95))),EXACT(C95&amp;"",B95&amp;"")))</f>
      </c>
      <c r="E95">
        <f>ISERROR(C95)</f>
      </c>
    </row>
    <row r="96">
      <c r="A96" t="str">
        <v>N12</v>
      </c>
      <c r="B96">
        <v>32.47</v>
      </c>
      <c r="C96">
        <f>'kinhte'!N12</f>
      </c>
      <c r="D96">
        <f>IF(ISERROR(C96),LEFT(B96&amp;"",1)="#",IF(ISNUMBER(C96),AND(ISNUMBER(B96),ABS(C96-B96)&lt;=0.000001*MAX(1,ABS(B96))),EXACT(C96&amp;"",B96&amp;"")))</f>
      </c>
      <c r="E96">
        <f>ISERROR(C96)</f>
      </c>
    </row>
    <row r="97">
      <c r="A97" t="str">
        <v>N13</v>
      </c>
      <c r="B97">
        <v>325.6</v>
      </c>
      <c r="C97">
        <f>'kinhte'!N13</f>
      </c>
      <c r="D97">
        <f>IF(ISERROR(C97),LEFT(B97&amp;"",1)="#",IF(ISNUMBER(C97),AND(ISNUMBER(B97),ABS(C97-B97)&lt;=0.000001*MAX(1,ABS(B97))),EXACT(C97&amp;"",B97&amp;"")))</f>
      </c>
      <c r="E97">
        <f>ISERROR(C97)</f>
      </c>
    </row>
    <row r="98">
      <c r="A98" t="str">
        <v>O2</v>
      </c>
      <c r="B98">
        <v>845.62</v>
      </c>
      <c r="C98">
        <f>'kinhte'!O2</f>
      </c>
      <c r="D98">
        <f>IF(ISERROR(C98),LEFT(B98&amp;"",1)="#",IF(ISNUMBER(C98),AND(ISNUMBER(B98),ABS(C98-B98)&lt;=0.000001*MAX(1,ABS(B98))),EXACT(C98&amp;"",B98&amp;"")))</f>
      </c>
      <c r="E98">
        <f>ISERROR(C98)</f>
      </c>
    </row>
    <row r="99">
      <c r="A99" t="str">
        <v>O3</v>
      </c>
      <c r="B99">
        <v>1533.87</v>
      </c>
      <c r="C99">
        <f>'kinhte'!O3</f>
      </c>
      <c r="D99">
        <f>IF(ISERROR(C99),LEFT(B99&amp;"",1)="#",IF(ISNUMBER(C99),AND(ISNUMBER(B99),ABS(C99-B99)&lt;=0.000001*MAX(1,ABS(B99))),EXACT(C99&amp;"",B99&amp;"")))</f>
      </c>
      <c r="E99">
        <f>ISERROR(C99)</f>
      </c>
    </row>
    <row r="100">
      <c r="A100" t="str">
        <v>O4</v>
      </c>
      <c r="B100">
        <v>2096.45</v>
      </c>
      <c r="C100">
        <f>'kinhte'!O4</f>
      </c>
      <c r="D100">
        <f>IF(ISERROR(C100),LEFT(B100&amp;"",1)="#",IF(ISNUMBER(C100),AND(ISNUMBER(B100),ABS(C100-B100)&lt;=0.000001*MAX(1,ABS(B100))),EXACT(C100&amp;"",B100&amp;"")))</f>
      </c>
      <c r="E100">
        <f>ISERROR(C100)</f>
      </c>
    </row>
    <row r="101">
      <c r="A101" t="str">
        <v>O5</v>
      </c>
      <c r="B101">
        <v>1856.68</v>
      </c>
      <c r="C101">
        <f>'kinhte'!O5</f>
      </c>
      <c r="D101">
        <f>IF(ISERROR(C101),LEFT(B101&amp;"",1)="#",IF(ISNUMBER(C101),AND(ISNUMBER(B101),ABS(C101-B101)&lt;=0.000001*MAX(1,ABS(B101))),EXACT(C101&amp;"",B101&amp;"")))</f>
      </c>
      <c r="E101">
        <f>ISERROR(C101)</f>
      </c>
    </row>
    <row r="102">
      <c r="A102" t="str">
        <v>O6</v>
      </c>
      <c r="B102">
        <v>1191.43</v>
      </c>
      <c r="C102">
        <f>'kinhte'!O6</f>
      </c>
      <c r="D102">
        <f>IF(ISERROR(C102),LEFT(B102&amp;"",1)="#",IF(ISNUMBER(C102),AND(ISNUMBER(B102),ABS(C102-B102)&lt;=0.000001*MAX(1,ABS(B102))),EXACT(C102&amp;"",B102&amp;"")))</f>
      </c>
      <c r="E102">
        <f>ISERROR(C102)</f>
      </c>
    </row>
    <row r="103">
      <c r="A103" t="str">
        <v>O7</v>
      </c>
      <c r="B103">
        <v>752.19</v>
      </c>
      <c r="C103">
        <f>'kinhte'!O7</f>
      </c>
      <c r="D103">
        <f>IF(ISERROR(C103),LEFT(B103&amp;"",1)="#",IF(ISNUMBER(C103),AND(ISNUMBER(B103),ABS(C103-B103)&lt;=0.000001*MAX(1,ABS(B103))),EXACT(C103&amp;"",B103&amp;"")))</f>
      </c>
      <c r="E103">
        <f>ISERROR(C103)</f>
      </c>
    </row>
    <row r="104">
      <c r="A104" t="str">
        <v>O8</v>
      </c>
      <c r="B104">
        <v>1341.71</v>
      </c>
      <c r="C104">
        <f>'kinhte'!O8</f>
      </c>
      <c r="D104">
        <f>IF(ISERROR(C104),LEFT(B104&amp;"",1)="#",IF(ISNUMBER(C104),AND(ISNUMBER(B104),ABS(C104-B104)&lt;=0.000001*MAX(1,ABS(B104))),EXACT(C104&amp;"",B104&amp;"")))</f>
      </c>
      <c r="E104">
        <f>ISERROR(C104)</f>
      </c>
    </row>
    <row r="105">
      <c r="A105" t="str">
        <v>O9</v>
      </c>
      <c r="B105">
        <v>805.88</v>
      </c>
      <c r="C105">
        <f>'kinhte'!O9</f>
      </c>
      <c r="D105">
        <f>IF(ISERROR(C105),LEFT(B105&amp;"",1)="#",IF(ISNUMBER(C105),AND(ISNUMBER(B105),ABS(C105-B105)&lt;=0.000001*MAX(1,ABS(B105))),EXACT(C105&amp;"",B105&amp;"")))</f>
      </c>
      <c r="E105">
        <f>ISERROR(C105)</f>
      </c>
    </row>
    <row r="106">
      <c r="A106" t="str">
        <v>O10</v>
      </c>
      <c r="B106">
        <v>804.34</v>
      </c>
      <c r="C106">
        <f>'kinhte'!O10</f>
      </c>
      <c r="D106">
        <f>IF(ISERROR(C106),LEFT(B106&amp;"",1)="#",IF(ISNUMBER(C106),AND(ISNUMBER(B106),ABS(C106-B106)&lt;=0.000001*MAX(1,ABS(B106))),EXACT(C106&amp;"",B106&amp;"")))</f>
      </c>
      <c r="E106">
        <f>ISERROR(C106)</f>
      </c>
    </row>
    <row r="107">
      <c r="A107" t="str">
        <v>O11</v>
      </c>
      <c r="B107">
        <v>865.15</v>
      </c>
      <c r="C107">
        <f>'kinhte'!O11</f>
      </c>
      <c r="D107">
        <f>IF(ISERROR(C107),LEFT(B107&amp;"",1)="#",IF(ISNUMBER(C107),AND(ISNUMBER(B107),ABS(C107-B107)&lt;=0.000001*MAX(1,ABS(B107))),EXACT(C107&amp;"",B107&amp;"")))</f>
      </c>
      <c r="E107">
        <f>ISERROR(C107)</f>
      </c>
    </row>
    <row r="108">
      <c r="A108" t="str">
        <v>O12</v>
      </c>
      <c r="B108">
        <v>179.95</v>
      </c>
      <c r="C108">
        <f>'kinhte'!O12</f>
      </c>
      <c r="D108">
        <f>IF(ISERROR(C108),LEFT(B108&amp;"",1)="#",IF(ISNUMBER(C108),AND(ISNUMBER(B108),ABS(C108-B108)&lt;=0.000001*MAX(1,ABS(B108))),EXACT(C108&amp;"",B108&amp;"")))</f>
      </c>
      <c r="E108">
        <f>ISERROR(C108)</f>
      </c>
    </row>
    <row r="109">
      <c r="A109" t="str">
        <v>O13</v>
      </c>
      <c r="B109">
        <v>1755.03</v>
      </c>
      <c r="C109">
        <f>'kinhte'!O13</f>
      </c>
      <c r="D109">
        <f>IF(ISERROR(C109),LEFT(B109&amp;"",1)="#",IF(ISNUMBER(C109),AND(ISNUMBER(B109),ABS(C109-B109)&lt;=0.000001*MAX(1,ABS(B109))),EXACT(C109&amp;"",B109&amp;"")))</f>
      </c>
      <c r="E109">
        <f>ISERROR(C109)</f>
      </c>
    </row>
    <row r="110">
      <c r="A110" t="str">
        <v>P2</v>
      </c>
      <c r="B110" t="str">
        <v>NEN DAU TU</v>
      </c>
      <c r="C110">
        <f>'kinhte'!P2</f>
      </c>
      <c r="D110">
        <f>IF(ISERROR(C110),LEFT(B110&amp;"",1)="#",IF(ISNUMBER(C110),AND(ISNUMBER(B110),ABS(C110-B110)&lt;=0.000001*MAX(1,ABS(B110))),EXACT(C110&amp;"",B110&amp;"")))</f>
      </c>
      <c r="E110">
        <f>ISERROR(C110)</f>
      </c>
    </row>
    <row r="111">
      <c r="A111" t="str">
        <v>P3</v>
      </c>
      <c r="B111" t="str">
        <v>LOAI</v>
      </c>
      <c r="C111">
        <f>'kinhte'!P3</f>
      </c>
      <c r="D111">
        <f>IF(ISERROR(C111),LEFT(B111&amp;"",1)="#",IF(ISNUMBER(C111),AND(ISNUMBER(B111),ABS(C111-B111)&lt;=0.000001*MAX(1,ABS(B111))),EXACT(C111&amp;"",B111&amp;"")))</f>
      </c>
      <c r="E111">
        <f>ISERROR(C111)</f>
      </c>
    </row>
    <row r="112">
      <c r="A112" t="str">
        <v>P4</v>
      </c>
      <c r="B112" t="str">
        <v>CAN NHAC</v>
      </c>
      <c r="C112">
        <f>'kinhte'!P4</f>
      </c>
      <c r="D112">
        <f>IF(ISERROR(C112),LEFT(B112&amp;"",1)="#",IF(ISNUMBER(C112),AND(ISNUMBER(B112),ABS(C112-B112)&lt;=0.000001*MAX(1,ABS(B112))),EXACT(C112&amp;"",B112&amp;"")))</f>
      </c>
      <c r="E112">
        <f>ISERROR(C112)</f>
      </c>
    </row>
    <row r="113">
      <c r="A113" t="str">
        <v>P5</v>
      </c>
      <c r="B113" t="str">
        <v>CAN NHAC</v>
      </c>
      <c r="C113">
        <f>'kinhte'!P5</f>
      </c>
      <c r="D113">
        <f>IF(ISERROR(C113),LEFT(B113&amp;"",1)="#",IF(ISNUMBER(C113),AND(ISNUMBER(B113),ABS(C113-B113)&lt;=0.000001*MAX(1,ABS(B113))),EXACT(C113&amp;"",B113&amp;"")))</f>
      </c>
      <c r="E113">
        <f>ISERROR(C113)</f>
      </c>
    </row>
    <row r="114">
      <c r="A114" t="str">
        <v>P6</v>
      </c>
      <c r="B114" t="str">
        <v>NEN DAU TU</v>
      </c>
      <c r="C114">
        <f>'kinhte'!P6</f>
      </c>
      <c r="D114">
        <f>IF(ISERROR(C114),LEFT(B114&amp;"",1)="#",IF(ISNUMBER(C114),AND(ISNUMBER(B114),ABS(C114-B114)&lt;=0.000001*MAX(1,ABS(B114))),EXACT(C114&amp;"",B114&amp;"")))</f>
      </c>
      <c r="E114">
        <f>ISERROR(C114)</f>
      </c>
    </row>
    <row r="115">
      <c r="A115" t="str">
        <v>P7</v>
      </c>
      <c r="B115" t="str">
        <v>CAN NHAC</v>
      </c>
      <c r="C115">
        <f>'kinhte'!P7</f>
      </c>
      <c r="D115">
        <f>IF(ISERROR(C115),LEFT(B115&amp;"",1)="#",IF(ISNUMBER(C115),AND(ISNUMBER(B115),ABS(C115-B115)&lt;=0.000001*MAX(1,ABS(B115))),EXACT(C115&amp;"",B115&amp;"")))</f>
      </c>
      <c r="E115">
        <f>ISERROR(C115)</f>
      </c>
    </row>
    <row r="116">
      <c r="A116" t="str">
        <v>P8</v>
      </c>
      <c r="B116" t="str">
        <v>NEN DAU TU</v>
      </c>
      <c r="C116">
        <f>'kinhte'!P8</f>
      </c>
      <c r="D116">
        <f>IF(ISERROR(C116),LEFT(B116&amp;"",1)="#",IF(ISNUMBER(C116),AND(ISNUMBER(B116),ABS(C116-B116)&lt;=0.000001*MAX(1,ABS(B116))),EXACT(C116&amp;"",B116&amp;"")))</f>
      </c>
      <c r="E116">
        <f>ISERROR(C116)</f>
      </c>
    </row>
    <row r="117">
      <c r="A117" t="str">
        <v>P9</v>
      </c>
      <c r="B117" t="str">
        <v>NEN DAU TU</v>
      </c>
      <c r="C117">
        <f>'kinhte'!P9</f>
      </c>
      <c r="D117">
        <f>IF(ISERROR(C117),LEFT(B117&amp;"",1)="#",IF(ISNUMBER(C117),AND(ISNUMBER(B117),ABS(C117-B117)&lt;=0.000001*MAX(1,ABS(B117))),EXACT(C117&amp;"",B117&amp;"")))</f>
      </c>
      <c r="E117">
        <f>ISERROR(C117)</f>
      </c>
    </row>
    <row r="118">
      <c r="A118" t="str">
        <v>P10</v>
      </c>
      <c r="B118" t="str">
        <v>NEN DAU TU</v>
      </c>
      <c r="C118">
        <f>'kinhte'!P10</f>
      </c>
      <c r="D118">
        <f>IF(ISERROR(C118),LEFT(B118&amp;"",1)="#",IF(ISNUMBER(C118),AND(ISNUMBER(B118),ABS(C118-B118)&lt;=0.000001*MAX(1,ABS(B118))),EXACT(C118&amp;"",B118&amp;"")))</f>
      </c>
      <c r="E118">
        <f>ISERROR(C118)</f>
      </c>
    </row>
    <row r="119">
      <c r="A119" t="str">
        <v>P11</v>
      </c>
      <c r="B119" t="str">
        <v>CAN NHAC</v>
      </c>
      <c r="C119">
        <f>'kinhte'!P11</f>
      </c>
      <c r="D119">
        <f>IF(ISERROR(C119),LEFT(B119&amp;"",1)="#",IF(ISNUMBER(C119),AND(ISNUMBER(B119),ABS(C119-B119)&lt;=0.000001*MAX(1,ABS(B119))),EXACT(C119&amp;"",B119&amp;"")))</f>
      </c>
      <c r="E119">
        <f>ISERROR(C119)</f>
      </c>
    </row>
    <row r="120">
      <c r="A120" t="str">
        <v>P12</v>
      </c>
      <c r="B120" t="str">
        <v>CAN NHAC</v>
      </c>
      <c r="C120">
        <f>'kinhte'!P12</f>
      </c>
      <c r="D120">
        <f>IF(ISERROR(C120),LEFT(B120&amp;"",1)="#",IF(ISNUMBER(C120),AND(ISNUMBER(B120),ABS(C120-B120)&lt;=0.000001*MAX(1,ABS(B120))),EXACT(C120&amp;"",B120&amp;"")))</f>
      </c>
      <c r="E120">
        <f>ISERROR(C120)</f>
      </c>
    </row>
    <row r="121">
      <c r="A121" t="str">
        <v>P13</v>
      </c>
      <c r="B121" t="str">
        <v>NEN DAU TU</v>
      </c>
      <c r="C121">
        <f>'kinhte'!P13</f>
      </c>
      <c r="D121">
        <f>IF(ISERROR(C121),LEFT(B121&amp;"",1)="#",IF(ISNUMBER(C121),AND(ISNUMBER(B121),ABS(C121-B121)&lt;=0.000001*MAX(1,ABS(B121))),EXACT(C121&amp;"",B121&amp;"")))</f>
      </c>
      <c r="E121">
        <f>ISERROR(C121)</f>
      </c>
    </row>
    <row r="122">
      <c r="A122" t="str">
        <v>Q2</v>
      </c>
      <c r="B122">
        <v>5</v>
      </c>
      <c r="C122">
        <f>'kinhte'!Q2</f>
      </c>
      <c r="D122">
        <f>IF(ISERROR(C122),LEFT(B122&amp;"",1)="#",IF(ISNUMBER(C122),AND(ISNUMBER(B122),ABS(C122-B122)&lt;=0.000001*MAX(1,ABS(B122))),EXACT(C122&amp;"",B122&amp;"")))</f>
      </c>
      <c r="E122">
        <f>ISERROR(C122)</f>
      </c>
    </row>
    <row r="123">
      <c r="A123" t="str">
        <v>Q3</v>
      </c>
      <c r="B123">
        <v>12</v>
      </c>
      <c r="C123">
        <f>'kinhte'!Q3</f>
      </c>
      <c r="D123">
        <f>IF(ISERROR(C123),LEFT(B123&amp;"",1)="#",IF(ISNUMBER(C123),AND(ISNUMBER(B123),ABS(C123-B123)&lt;=0.000001*MAX(1,ABS(B123))),EXACT(C123&amp;"",B123&amp;"")))</f>
      </c>
      <c r="E123">
        <f>ISERROR(C123)</f>
      </c>
    </row>
    <row r="124">
      <c r="A124" t="str">
        <v>Q4</v>
      </c>
      <c r="B124">
        <v>4</v>
      </c>
      <c r="C124">
        <f>'kinhte'!Q4</f>
      </c>
      <c r="D124">
        <f>IF(ISERROR(C124),LEFT(B124&amp;"",1)="#",IF(ISNUMBER(C124),AND(ISNUMBER(B124),ABS(C124-B124)&lt;=0.000001*MAX(1,ABS(B124))),EXACT(C124&amp;"",B124&amp;"")))</f>
      </c>
      <c r="E124">
        <f>ISERROR(C124)</f>
      </c>
    </row>
    <row r="125">
      <c r="A125" t="str">
        <v>Q5</v>
      </c>
      <c r="B125">
        <v>10</v>
      </c>
      <c r="C125">
        <f>'kinhte'!Q5</f>
      </c>
      <c r="D125">
        <f>IF(ISERROR(C125),LEFT(B125&amp;"",1)="#",IF(ISNUMBER(C125),AND(ISNUMBER(B125),ABS(C125-B125)&lt;=0.000001*MAX(1,ABS(B125))),EXACT(C125&amp;"",B125&amp;"")))</f>
      </c>
      <c r="E125">
        <f>ISERROR(C125)</f>
      </c>
    </row>
    <row r="126">
      <c r="A126" t="str">
        <v>Q6</v>
      </c>
      <c r="B126">
        <v>7</v>
      </c>
      <c r="C126">
        <f>'kinhte'!Q6</f>
      </c>
      <c r="D126">
        <f>IF(ISERROR(C126),LEFT(B126&amp;"",1)="#",IF(ISNUMBER(C126),AND(ISNUMBER(B126),ABS(C126-B126)&lt;=0.000001*MAX(1,ABS(B126))),EXACT(C126&amp;"",B126&amp;"")))</f>
      </c>
      <c r="E126">
        <f>ISERROR(C126)</f>
      </c>
    </row>
    <row r="127">
      <c r="A127" t="str">
        <v>Q7</v>
      </c>
      <c r="B127">
        <v>8</v>
      </c>
      <c r="C127">
        <f>'kinhte'!Q7</f>
      </c>
      <c r="D127">
        <f>IF(ISERROR(C127),LEFT(B127&amp;"",1)="#",IF(ISNUMBER(C127),AND(ISNUMBER(B127),ABS(C127-B127)&lt;=0.000001*MAX(1,ABS(B127))),EXACT(C127&amp;"",B127&amp;"")))</f>
      </c>
      <c r="E127">
        <f>ISERROR(C127)</f>
      </c>
    </row>
    <row r="128">
      <c r="A128" t="str">
        <v>Q8</v>
      </c>
      <c r="B128">
        <v>6</v>
      </c>
      <c r="C128">
        <f>'kinhte'!Q8</f>
      </c>
      <c r="D128">
        <f>IF(ISERROR(C128),LEFT(B128&amp;"",1)="#",IF(ISNUMBER(C128),AND(ISNUMBER(B128),ABS(C128-B128)&lt;=0.000001*MAX(1,ABS(B128))),EXACT(C128&amp;"",B128&amp;"")))</f>
      </c>
      <c r="E128">
        <f>ISERROR(C128)</f>
      </c>
    </row>
    <row r="129">
      <c r="A129" t="str">
        <v>Q9</v>
      </c>
      <c r="B129">
        <v>2</v>
      </c>
      <c r="C129">
        <f>'kinhte'!Q9</f>
      </c>
      <c r="D129">
        <f>IF(ISERROR(C129),LEFT(B129&amp;"",1)="#",IF(ISNUMBER(C129),AND(ISNUMBER(B129),ABS(C129-B129)&lt;=0.000001*MAX(1,ABS(B129))),EXACT(C129&amp;"",B129&amp;"")))</f>
      </c>
      <c r="E129">
        <f>ISERROR(C129)</f>
      </c>
    </row>
    <row r="130">
      <c r="A130" t="str">
        <v>Q10</v>
      </c>
      <c r="B130">
        <v>3</v>
      </c>
      <c r="C130">
        <f>'kinhte'!Q10</f>
      </c>
      <c r="D130">
        <f>IF(ISERROR(C130),LEFT(B130&amp;"",1)="#",IF(ISNUMBER(C130),AND(ISNUMBER(B130),ABS(C130-B130)&lt;=0.000001*MAX(1,ABS(B130))),EXACT(C130&amp;"",B130&amp;"")))</f>
      </c>
      <c r="E130">
        <f>ISERROR(C130)</f>
      </c>
    </row>
    <row r="131">
      <c r="A131" t="str">
        <v>Q11</v>
      </c>
      <c r="B131">
        <v>11</v>
      </c>
      <c r="C131">
        <f>'kinhte'!Q11</f>
      </c>
      <c r="D131">
        <f>IF(ISERROR(C131),LEFT(B131&amp;"",1)="#",IF(ISNUMBER(C131),AND(ISNUMBER(B131),ABS(C131-B131)&lt;=0.000001*MAX(1,ABS(B131))),EXACT(C131&amp;"",B131&amp;"")))</f>
      </c>
      <c r="E131">
        <f>ISERROR(C131)</f>
      </c>
    </row>
    <row r="132">
      <c r="A132" t="str">
        <v>Q12</v>
      </c>
      <c r="B132">
        <v>9</v>
      </c>
      <c r="C132">
        <f>'kinhte'!Q12</f>
      </c>
      <c r="D132">
        <f>IF(ISERROR(C132),LEFT(B132&amp;"",1)="#",IF(ISNUMBER(C132),AND(ISNUMBER(B132),ABS(C132-B132)&lt;=0.000001*MAX(1,ABS(B132))),EXACT(C132&amp;"",B132&amp;"")))</f>
      </c>
      <c r="E132">
        <f>ISERROR(C132)</f>
      </c>
    </row>
    <row r="133">
      <c r="A133" t="str">
        <v>Q13</v>
      </c>
      <c r="B133">
        <v>1</v>
      </c>
      <c r="C133">
        <f>'kinhte'!Q13</f>
      </c>
      <c r="D133">
        <f>IF(ISERROR(C133),LEFT(B133&amp;"",1)="#",IF(ISNUMBER(C133),AND(ISNUMBER(B133),ABS(C133-B133)&lt;=0.000001*MAX(1,ABS(B133))),EXACT(C133&amp;"",B133&amp;"")))</f>
      </c>
      <c r="E133">
        <f>ISERROR(C133)</f>
      </c>
    </row>
    <row r="134">
      <c r="A134" t="str">
        <v>Z2</v>
      </c>
      <c r="B134" t="str">
        <v>NN12</v>
      </c>
      <c r="C134">
        <f>'kinhte'!Z2</f>
      </c>
      <c r="D134">
        <f>IF(ISERROR(C134),LEFT(B134&amp;"",1)="#",IF(ISNUMBER(C134),AND(ISNUMBER(B134),ABS(C134-B134)&lt;=0.000001*MAX(1,ABS(B134))),EXACT(C134&amp;"",B134&amp;"")))</f>
      </c>
      <c r="E134">
        <f>ISERROR(C134)</f>
      </c>
    </row>
    <row r="135">
      <c r="A135" t="str">
        <v>Z3</v>
      </c>
      <c r="B135">
        <v>3155</v>
      </c>
      <c r="C135">
        <f>'kinhte'!Z3</f>
      </c>
      <c r="D135">
        <f>IF(ISERROR(C135),LEFT(B135&amp;"",1)="#",IF(ISNUMBER(C135),AND(ISNUMBER(B135),ABS(C135-B135)&lt;=0.000001*MAX(1,ABS(B135))),EXACT(C135&amp;"",B135&amp;"")))</f>
      </c>
      <c r="E135">
        <f>ISERROR(C135)</f>
      </c>
    </row>
    <row r="136">
      <c r="A136" t="str">
        <v>Z4</v>
      </c>
      <c r="B136">
        <v>2</v>
      </c>
      <c r="C136">
        <f>'kinhte'!Z4</f>
      </c>
      <c r="D136">
        <f>IF(ISERROR(C136),LEFT(B136&amp;"",1)="#",IF(ISNUMBER(C136),AND(ISNUMBER(B136),ABS(C136-B136)&lt;=0.000001*MAX(1,ABS(B136))),EXACT(C136&amp;"",B136&amp;"")))</f>
      </c>
      <c r="E136">
        <f>ISERROR(C136)</f>
      </c>
    </row>
    <row r="137">
      <c r="A137" t="str">
        <v>Z5</v>
      </c>
      <c r="B137">
        <v>0.09706666666666668</v>
      </c>
      <c r="C137">
        <f>'kinhte'!Z5</f>
      </c>
      <c r="D137">
        <f>IF(ISERROR(C137),LEFT(B137&amp;"",1)="#",IF(ISNUMBER(C137),AND(ISNUMBER(B137),ABS(C137-B137)&lt;=0.000001*MAX(1,ABS(B137))),EXACT(C137&amp;"",B137&amp;"")))</f>
      </c>
      <c r="E137">
        <f>ISERROR(C137)</f>
      </c>
    </row>
    <row r="138">
      <c r="A138" t="str">
        <v>Z6</v>
      </c>
      <c r="B138">
        <v>31.72</v>
      </c>
      <c r="C138">
        <f>'kinhte'!Z6</f>
      </c>
      <c r="D138">
        <f>IF(ISERROR(C138),LEFT(B138&amp;"",1)="#",IF(ISNUMBER(C138),AND(ISNUMBER(B138),ABS(C138-B138)&lt;=0.000001*MAX(1,ABS(B138))),EXACT(C138&amp;"",B138&amp;"")))</f>
      </c>
      <c r="E138">
        <f>ISERROR(C138)</f>
      </c>
    </row>
    <row r="139">
      <c r="A139" t="str">
        <v>Z7</v>
      </c>
      <c r="B139">
        <v>0.11674999999999999</v>
      </c>
      <c r="C139">
        <f>'kinhte'!Z7</f>
      </c>
      <c r="D139">
        <f>IF(ISERROR(C139),LEFT(B139&amp;"",1)="#",IF(ISNUMBER(C139),AND(ISNUMBER(B139),ABS(C139-B139)&lt;=0.000001*MAX(1,ABS(B139))),EXACT(C139&amp;"",B139&amp;"")))</f>
      </c>
      <c r="E139">
        <f>ISERROR(C139)</f>
      </c>
    </row>
    <row r="140">
      <c r="A140" t="str">
        <v>Z8</v>
      </c>
      <c r="B140">
        <v>392.1</v>
      </c>
      <c r="C140">
        <f>'kinhte'!Z8</f>
      </c>
      <c r="D140">
        <f>IF(ISERROR(C140),LEFT(B140&amp;"",1)="#",IF(ISNUMBER(C140),AND(ISNUMBER(B140),ABS(C140-B140)&lt;=0.000001*MAX(1,ABS(B140))),EXACT(C140&amp;"",B140&amp;"")))</f>
      </c>
      <c r="E140">
        <f>ISERROR(C140)</f>
      </c>
    </row>
    <row r="141">
      <c r="A141" t="str">
        <v>Z9</v>
      </c>
      <c r="B141">
        <v>2950</v>
      </c>
      <c r="C141">
        <f>'kinhte'!Z9</f>
      </c>
      <c r="D141">
        <f>IF(ISERROR(C141),LEFT(B141&amp;"",1)="#",IF(ISNUMBER(C141),AND(ISNUMBER(B141),ABS(C141-B141)&lt;=0.000001*MAX(1,ABS(B141))),EXACT(C141&amp;"",B141&amp;"")))</f>
      </c>
      <c r="E141">
        <f>ISERROR(C141)</f>
      </c>
    </row>
    <row r="142">
      <c r="A142" t="str">
        <v>Z10</v>
      </c>
      <c r="B142">
        <v>0.10652500000000001</v>
      </c>
      <c r="C142">
        <f>'kinhte'!Z10</f>
      </c>
      <c r="D142">
        <f>IF(ISERROR(C142),LEFT(B142&amp;"",1)="#",IF(ISNUMBER(C142),AND(ISNUMBER(B142),ABS(C142-B142)&lt;=0.000001*MAX(1,ABS(B142))),EXACT(C142&amp;"",B142&amp;"")))</f>
      </c>
      <c r="E142">
        <f>ISERROR(C142)</f>
      </c>
    </row>
    <row r="143">
      <c r="A143" t="str">
        <v>Z11</v>
      </c>
      <c r="B143">
        <v>514</v>
      </c>
      <c r="C143">
        <f>'kinhte'!Z11</f>
      </c>
      <c r="D143">
        <f>IF(ISERROR(C143),LEFT(B143&amp;"",1)="#",IF(ISNUMBER(C143),AND(ISNUMBER(B143),ABS(C143-B143)&lt;=0.000001*MAX(1,ABS(B143))),EXACT(C143&amp;"",B143&amp;"")))</f>
      </c>
      <c r="E143">
        <f>ISERROR(C143)</f>
      </c>
    </row>
    <row r="144">
      <c r="A144" t="str">
        <v>Z12</v>
      </c>
      <c r="B144">
        <v>689.1999999999999</v>
      </c>
      <c r="C144">
        <f>'kinhte'!Z12</f>
      </c>
      <c r="D144">
        <f>IF(ISERROR(C144),LEFT(B144&amp;"",1)="#",IF(ISNUMBER(C144),AND(ISNUMBER(B144),ABS(C144-B144)&lt;=0.000001*MAX(1,ABS(B144))),EXACT(C144&amp;"",B144&amp;"")))</f>
      </c>
      <c r="E144">
        <f>ISERROR(C144)</f>
      </c>
    </row>
  </sheetData>
  <ignoredErrors>
    <ignoredError numberStoredAsText="1" sqref="A1:E144"/>
  </ignoredErrors>
</worksheet>
</file>

<file path=xl/worksheets/sheet7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MaCT</v>
      </c>
      <c r="B1" t="str">
        <v>DuongKinh</v>
      </c>
      <c r="C1" t="str">
        <v>DuongKinhDo</v>
      </c>
      <c r="D1" t="str">
        <v>ChieuDai</v>
      </c>
      <c r="E1" t="str">
        <v>SoLuong</v>
      </c>
      <c r="F1" t="str">
        <v>VatLieu</v>
      </c>
      <c r="G1" t="str">
        <v>STT</v>
      </c>
      <c r="H1" t="str">
        <v>Rho</v>
      </c>
      <c r="I1" t="str">
        <v>TheTich</v>
      </c>
      <c r="J1" t="str">
        <v>KhoiLuong</v>
      </c>
      <c r="K1" t="str">
        <v>TongKL</v>
      </c>
      <c r="L1" t="str">
        <v>DoLech</v>
      </c>
      <c r="M1" t="str">
        <v>DatDungSai</v>
      </c>
      <c r="R1" t="str">
        <v>VatLieu</v>
      </c>
      <c r="S1" t="str">
        <v>KhoiLuongRieng</v>
      </c>
      <c r="T1" t="str">
        <v>DungSai</v>
      </c>
      <c r="U1">
        <v>0.05</v>
      </c>
      <c r="W1" t="str">
        <v>VatLieu</v>
      </c>
      <c r="Y1" t="str">
        <v>TongHop</v>
      </c>
      <c r="Z1" t="str">
        <v>KetQua</v>
      </c>
    </row>
    <row r="2">
      <c r="A2" t="str">
        <v>THEP-001</v>
      </c>
      <c r="B2">
        <v>25</v>
      </c>
      <c r="C2">
        <v>25.02</v>
      </c>
      <c r="D2">
        <v>220</v>
      </c>
      <c r="E2">
        <v>3</v>
      </c>
      <c r="F2" t="str">
        <f>LEFT(A2,FIND("-",A2)-1)</f>
        <v>THEP</v>
      </c>
      <c r="G2">
        <f>VALUE(RIGHT(A2,3))</f>
        <v>1</v>
      </c>
      <c r="H2">
        <f>VLOOKUP(F2,$R$2:$S$5,2,FALSE)</f>
        <v>7.85</v>
      </c>
      <c r="I2">
        <f>ROUND(PI()*POWER(B2/2,2)*D2/1000,2)</f>
        <v>107.99</v>
      </c>
      <c r="J2">
        <f>ROUND(I2*H2/1000,3)</f>
        <v>0.848</v>
      </c>
      <c r="K2">
        <f>ROUND(I2*H2/1000*E2,2)</f>
        <v>2.54</v>
      </c>
      <c r="L2">
        <f>ROUND(ABS(C2-B2),2)</f>
        <v>0.02</v>
      </c>
      <c r="M2" t="str">
        <f>IF(L2&lt;=$U$1,"DAT","LOI")</f>
        <v>DAT</v>
      </c>
      <c r="R2" t="str">
        <v>THEP</v>
      </c>
      <c r="S2">
        <v>7.85</v>
      </c>
      <c r="W2" t="str">
        <v>THEP</v>
      </c>
      <c r="Y2" t="str">
        <v>Ma CT co KhoiLuong lon nhat</v>
      </c>
      <c r="Z2" t="str">
        <f>INDEX(A2:A13,MATCH(MAX(J2:J13),J2:J13,0))</f>
        <v>INOX-008</v>
      </c>
    </row>
    <row r="3">
      <c r="A3" t="str">
        <v>NHOM-002</v>
      </c>
      <c r="B3">
        <v>12</v>
      </c>
      <c r="C3">
        <v>12.07</v>
      </c>
      <c r="D3">
        <v>50</v>
      </c>
      <c r="E3">
        <v>45</v>
      </c>
      <c r="F3" t="str">
        <f>LEFT(A3,FIND("-",A3)-1)</f>
        <v>NHOM</v>
      </c>
      <c r="G3">
        <f>VALUE(RIGHT(A3,3))</f>
        <v>2</v>
      </c>
      <c r="H3">
        <f>VLOOKUP(F3,$R$2:$S$5,2,FALSE)</f>
        <v>2.7</v>
      </c>
      <c r="I3">
        <f>ROUND(PI()*POWER(B3/2,2)*D3/1000,2)</f>
        <v>5.65</v>
      </c>
      <c r="J3">
        <f>ROUND(I3*H3/1000,3)</f>
        <v>0.015</v>
      </c>
      <c r="K3">
        <f>ROUND(I3*H3/1000*E3,2)</f>
        <v>0.69</v>
      </c>
      <c r="L3">
        <f>ROUND(ABS(C3-B3),2)</f>
        <v>0.07</v>
      </c>
      <c r="M3" t="str">
        <f>IF(L3&lt;=$U$1,"DAT","LOI")</f>
        <v>LOI</v>
      </c>
      <c r="R3" t="str">
        <v>NHOM</v>
      </c>
      <c r="S3">
        <v>2.7</v>
      </c>
      <c r="Y3" t="str">
        <v>Tong TongKL vat lieu THEP</v>
      </c>
      <c r="Z3">
        <f>SUMIF(F2:F13,"THEP",K2:K13)</f>
        <v>25.259999999999998</v>
      </c>
    </row>
    <row r="4">
      <c r="A4" t="str">
        <v>DONG-003</v>
      </c>
      <c r="B4">
        <v>12</v>
      </c>
      <c r="C4">
        <v>12.04</v>
      </c>
      <c r="D4">
        <v>270</v>
      </c>
      <c r="E4">
        <v>16</v>
      </c>
      <c r="F4" t="str">
        <f>LEFT(A4,FIND("-",A4)-1)</f>
        <v>DONG</v>
      </c>
      <c r="G4">
        <f>VALUE(RIGHT(A4,3))</f>
        <v>3</v>
      </c>
      <c r="H4">
        <f>VLOOKUP(F4,$R$2:$S$5,2,FALSE)</f>
        <v>8.96</v>
      </c>
      <c r="I4">
        <f>ROUND(PI()*POWER(B4/2,2)*D4/1000,2)</f>
        <v>30.54</v>
      </c>
      <c r="J4">
        <f>ROUND(I4*H4/1000,3)</f>
        <v>0.274</v>
      </c>
      <c r="K4">
        <f>ROUND(I4*H4/1000*E4,2)</f>
        <v>4.38</v>
      </c>
      <c r="L4">
        <f>ROUND(ABS(C4-B4),2)</f>
        <v>0.04</v>
      </c>
      <c r="M4" t="str">
        <f>IF(L4&lt;=$U$1,"DAT","LOI")</f>
        <v>DAT</v>
      </c>
      <c r="R4" t="str">
        <v>DONG</v>
      </c>
      <c r="S4">
        <v>8.96</v>
      </c>
      <c r="Y4" t="str">
        <v>So CT NHOM bi LOI</v>
      </c>
      <c r="Z4">
        <f>COUNTIFS(F2:F13,"NHOM",M2:M13,"LOI")</f>
        <v>1</v>
      </c>
    </row>
    <row r="5">
      <c r="A5" t="str">
        <v>INOX-004</v>
      </c>
      <c r="B5">
        <v>16</v>
      </c>
      <c r="C5">
        <v>16.06</v>
      </c>
      <c r="D5">
        <v>320</v>
      </c>
      <c r="E5">
        <v>43</v>
      </c>
      <c r="F5" t="str">
        <f>LEFT(A5,FIND("-",A5)-1)</f>
        <v>INOX</v>
      </c>
      <c r="G5">
        <f>VALUE(RIGHT(A5,3))</f>
        <v>4</v>
      </c>
      <c r="H5">
        <f>VLOOKUP(F5,$R$2:$S$5,2,FALSE)</f>
        <v>7.93</v>
      </c>
      <c r="I5">
        <f>ROUND(PI()*POWER(B5/2,2)*D5/1000,2)</f>
        <v>64.34</v>
      </c>
      <c r="J5">
        <f>ROUND(I5*H5/1000,3)</f>
        <v>0.51</v>
      </c>
      <c r="K5">
        <f>ROUND(I5*H5/1000*E5,2)</f>
        <v>21.94</v>
      </c>
      <c r="L5">
        <f>ROUND(ABS(C5-B5),2)</f>
        <v>0.06</v>
      </c>
      <c r="M5" t="str">
        <f>IF(L5&lt;=$U$1,"DAT","LOI")</f>
        <v>LOI</v>
      </c>
      <c r="R5" t="str">
        <v>INOX</v>
      </c>
      <c r="S5">
        <v>7.93</v>
      </c>
      <c r="Y5" t="str">
        <v>KhoiLuong TB vat lieu DONG</v>
      </c>
      <c r="Z5">
        <f>AVERAGEIF(F2:F13,"DONG",J2:J13)</f>
        <v>0.274</v>
      </c>
    </row>
    <row r="6">
      <c r="A6" t="str">
        <v>INOX-005</v>
      </c>
      <c r="B6">
        <v>12</v>
      </c>
      <c r="C6">
        <v>12.05</v>
      </c>
      <c r="D6">
        <v>130</v>
      </c>
      <c r="E6">
        <v>47</v>
      </c>
      <c r="F6" t="str">
        <f>LEFT(A6,FIND("-",A6)-1)</f>
        <v>INOX</v>
      </c>
      <c r="G6">
        <f>VALUE(RIGHT(A6,3))</f>
        <v>5</v>
      </c>
      <c r="H6">
        <f>VLOOKUP(F6,$R$2:$S$5,2,FALSE)</f>
        <v>7.93</v>
      </c>
      <c r="I6">
        <f>ROUND(PI()*POWER(B6/2,2)*D6/1000,2)</f>
        <v>14.7</v>
      </c>
      <c r="J6">
        <f>ROUND(I6*H6/1000,3)</f>
        <v>0.117</v>
      </c>
      <c r="K6">
        <f>ROUND(I6*H6/1000*E6,2)</f>
        <v>5.48</v>
      </c>
      <c r="L6">
        <f>ROUND(ABS(C6-B6),2)</f>
        <v>0.05</v>
      </c>
      <c r="M6" t="str">
        <f>IF(L6&lt;=$U$1,"DAT","LOI")</f>
        <v>DAT</v>
      </c>
      <c r="Y6" t="str">
        <v>TheTich lon nhat vat lieu INOX</v>
      </c>
      <c r="Z6">
        <f>_xlfn.MAXIFS(I2:I13,F2:F13,"INOX")</f>
        <v>186.53</v>
      </c>
    </row>
    <row r="7">
      <c r="A7" t="str">
        <v>NHOM-006</v>
      </c>
      <c r="B7">
        <v>30</v>
      </c>
      <c r="C7">
        <v>29.95</v>
      </c>
      <c r="D7">
        <v>160</v>
      </c>
      <c r="E7">
        <v>29</v>
      </c>
      <c r="F7" t="str">
        <f>LEFT(A7,FIND("-",A7)-1)</f>
        <v>NHOM</v>
      </c>
      <c r="G7">
        <f>VALUE(RIGHT(A7,3))</f>
        <v>6</v>
      </c>
      <c r="H7">
        <f>VLOOKUP(F7,$R$2:$S$5,2,FALSE)</f>
        <v>2.7</v>
      </c>
      <c r="I7">
        <f>ROUND(PI()*POWER(B7/2,2)*D7/1000,2)</f>
        <v>113.1</v>
      </c>
      <c r="J7">
        <f>ROUND(I7*H7/1000,3)</f>
        <v>0.305</v>
      </c>
      <c r="K7">
        <f>ROUND(I7*H7/1000*E7,2)</f>
        <v>8.86</v>
      </c>
      <c r="L7">
        <f>ROUND(ABS(C7-B7),2)</f>
        <v>0.05</v>
      </c>
      <c r="M7" t="str">
        <f>IF(L7&lt;=$U$1,"DAT","LOI")</f>
        <v>DAT</v>
      </c>
      <c r="Y7" t="str">
        <v>KhoiLuong trung vi</v>
      </c>
      <c r="Z7">
        <f>MEDIAN(J2:J13)</f>
        <v>0.3025</v>
      </c>
    </row>
    <row r="8">
      <c r="A8" t="str">
        <v>NHOM-007</v>
      </c>
      <c r="B8">
        <v>10</v>
      </c>
      <c r="C8">
        <v>9.95</v>
      </c>
      <c r="D8">
        <v>360</v>
      </c>
      <c r="E8">
        <v>50</v>
      </c>
      <c r="F8" t="str">
        <f>LEFT(A8,FIND("-",A8)-1)</f>
        <v>NHOM</v>
      </c>
      <c r="G8">
        <f>VALUE(RIGHT(A8,3))</f>
        <v>7</v>
      </c>
      <c r="H8">
        <f>VLOOKUP(F8,$R$2:$S$5,2,FALSE)</f>
        <v>2.7</v>
      </c>
      <c r="I8">
        <f>ROUND(PI()*POWER(B8/2,2)*D8/1000,2)</f>
        <v>28.27</v>
      </c>
      <c r="J8">
        <f>ROUND(I8*H8/1000,3)</f>
        <v>0.076</v>
      </c>
      <c r="K8">
        <f>ROUND(I8*H8/1000*E8,2)</f>
        <v>3.82</v>
      </c>
      <c r="L8">
        <f>ROUND(ABS(C8-B8),2)</f>
        <v>0.05</v>
      </c>
      <c r="M8" t="str">
        <f>IF(L8&lt;=$U$1,"DAT","LOI")</f>
        <v>DAT</v>
      </c>
      <c r="Y8" t="str">
        <v>TongKL lon thu hai</v>
      </c>
      <c r="Z8">
        <f>LARGE(K2:K13,2)</f>
        <v>21.94</v>
      </c>
    </row>
    <row r="9">
      <c r="A9" t="str">
        <v>INOX-008</v>
      </c>
      <c r="B9">
        <v>25</v>
      </c>
      <c r="C9">
        <v>25.06</v>
      </c>
      <c r="D9">
        <v>380</v>
      </c>
      <c r="E9">
        <v>40</v>
      </c>
      <c r="F9" t="str">
        <f>LEFT(A9,FIND("-",A9)-1)</f>
        <v>INOX</v>
      </c>
      <c r="G9">
        <f>VALUE(RIGHT(A9,3))</f>
        <v>8</v>
      </c>
      <c r="H9">
        <f>VLOOKUP(F9,$R$2:$S$5,2,FALSE)</f>
        <v>7.93</v>
      </c>
      <c r="I9">
        <f>ROUND(PI()*POWER(B9/2,2)*D9/1000,2)</f>
        <v>186.53</v>
      </c>
      <c r="J9">
        <f>ROUND(I9*H9/1000,3)</f>
        <v>1.479</v>
      </c>
      <c r="K9">
        <f>ROUND(I9*H9/1000*E9,2)</f>
        <v>59.17</v>
      </c>
      <c r="L9">
        <f>ROUND(ABS(C9-B9),2)</f>
        <v>0.06</v>
      </c>
      <c r="M9" t="str">
        <f>IF(L9&lt;=$U$1,"DAT","LOI")</f>
        <v>LOI</v>
      </c>
      <c r="Y9" t="str">
        <v>Do lech chuan DoLech</v>
      </c>
      <c r="Z9">
        <f>ROUND(STDEV(L2:L13),3)</f>
        <v>0.018</v>
      </c>
    </row>
    <row r="10">
      <c r="A10" t="str">
        <v>THEP-009</v>
      </c>
      <c r="B10">
        <v>16</v>
      </c>
      <c r="C10">
        <v>16.07</v>
      </c>
      <c r="D10">
        <v>190</v>
      </c>
      <c r="E10">
        <v>17</v>
      </c>
      <c r="F10" t="str">
        <f>LEFT(A10,FIND("-",A10)-1)</f>
        <v>THEP</v>
      </c>
      <c r="G10">
        <f>VALUE(RIGHT(A10,3))</f>
        <v>9</v>
      </c>
      <c r="H10">
        <f>VLOOKUP(F10,$R$2:$S$5,2,FALSE)</f>
        <v>7.85</v>
      </c>
      <c r="I10">
        <f>ROUND(PI()*POWER(B10/2,2)*D10/1000,2)</f>
        <v>38.2</v>
      </c>
      <c r="J10">
        <f>ROUND(I10*H10/1000,3)</f>
        <v>0.3</v>
      </c>
      <c r="K10">
        <f>ROUND(I10*H10/1000*E10,2)</f>
        <v>5.1</v>
      </c>
      <c r="L10">
        <f>ROUND(ABS(C10-B10),2)</f>
        <v>0.07</v>
      </c>
      <c r="M10" t="str">
        <f>IF(L10&lt;=$U$1,"DAT","LOI")</f>
        <v>LOI</v>
      </c>
      <c r="Y10" t="str">
        <v>Tong TongKL theo tieu chi W1:W2</v>
      </c>
      <c r="Z10">
        <f>DSUM(A1:M13,"TongKL",W1:W2)</f>
        <v>25.259999999999998</v>
      </c>
    </row>
    <row r="11">
      <c r="A11" t="str">
        <v>THEP-010</v>
      </c>
      <c r="B11">
        <v>10</v>
      </c>
      <c r="C11">
        <v>10.02</v>
      </c>
      <c r="D11">
        <v>340</v>
      </c>
      <c r="E11">
        <v>19</v>
      </c>
      <c r="F11" t="str">
        <f>LEFT(A11,FIND("-",A11)-1)</f>
        <v>THEP</v>
      </c>
      <c r="G11">
        <f>VALUE(RIGHT(A11,3))</f>
        <v>10</v>
      </c>
      <c r="H11">
        <f>VLOOKUP(F11,$R$2:$S$5,2,FALSE)</f>
        <v>7.85</v>
      </c>
      <c r="I11">
        <f>ROUND(PI()*POWER(B11/2,2)*D11/1000,2)</f>
        <v>26.7</v>
      </c>
      <c r="J11">
        <f>ROUND(I11*H11/1000,3)</f>
        <v>0.21</v>
      </c>
      <c r="K11">
        <f>ROUND(I11*H11/1000*E11,2)</f>
        <v>3.98</v>
      </c>
      <c r="L11">
        <f>ROUND(ABS(C11-B11),2)</f>
        <v>0.02</v>
      </c>
      <c r="M11" t="str">
        <f>IF(L11&lt;=$U$1,"DAT","LOI")</f>
        <v>DAT</v>
      </c>
      <c r="Y11" t="str">
        <v>So CT theo tieu chi W1:W2</v>
      </c>
      <c r="Z11">
        <f>DCOUNT(A1:M13,"TongKL",W1:W2)</f>
        <v>4</v>
      </c>
    </row>
    <row r="12">
      <c r="A12" t="str">
        <v>THEP-011</v>
      </c>
      <c r="B12">
        <v>16</v>
      </c>
      <c r="C12">
        <v>15.97</v>
      </c>
      <c r="D12">
        <v>240</v>
      </c>
      <c r="E12">
        <v>36</v>
      </c>
      <c r="F12" t="str">
        <f>LEFT(A12,FIND("-",A12)-1)</f>
        <v>THEP</v>
      </c>
      <c r="G12">
        <f>VALUE(RIGHT(A12,3))</f>
        <v>11</v>
      </c>
      <c r="H12">
        <f>VLOOKUP(F12,$R$2:$S$5,2,FALSE)</f>
        <v>7.85</v>
      </c>
      <c r="I12">
        <f>ROUND(PI()*POWER(B12/2,2)*D12/1000,2)</f>
        <v>48.25</v>
      </c>
      <c r="J12">
        <f>ROUND(I12*H12/1000,3)</f>
        <v>0.379</v>
      </c>
      <c r="K12">
        <f>ROUND(I12*H12/1000*E12,2)</f>
        <v>13.64</v>
      </c>
      <c r="L12">
        <f>ROUND(ABS(C12-B12),2)</f>
        <v>0.03</v>
      </c>
      <c r="M12" t="str">
        <f>IF(L12&lt;=$U$1,"DAT","LOI")</f>
        <v>DAT</v>
      </c>
      <c r="Y12" t="str">
        <v>Tong SoLuong CT bi LOI</v>
      </c>
      <c r="Z12">
        <f>SUMPRODUCT((M2:M13="LOI")*E2:E13)</f>
        <v>145</v>
      </c>
    </row>
    <row r="13">
      <c r="A13" t="str">
        <v>INOX-012</v>
      </c>
      <c r="B13">
        <v>20</v>
      </c>
      <c r="C13">
        <v>19.97</v>
      </c>
      <c r="D13">
        <v>210</v>
      </c>
      <c r="E13">
        <v>31</v>
      </c>
      <c r="F13" t="str">
        <f>LEFT(A13,FIND("-",A13)-1)</f>
        <v>INOX</v>
      </c>
      <c r="G13">
        <f>VALUE(RIGHT(A13,3))</f>
        <v>12</v>
      </c>
      <c r="H13">
        <f>VLOOKUP(F13,$R$2:$S$5,2,FALSE)</f>
        <v>7.93</v>
      </c>
      <c r="I13">
        <f>ROUND(PI()*POWER(B13/2,2)*D13/1000,2)</f>
        <v>65.97</v>
      </c>
      <c r="J13">
        <f>ROUND(I13*H13/1000,3)</f>
        <v>0.523</v>
      </c>
      <c r="K13">
        <f>ROUND(I13*H13/1000*E13,2)</f>
        <v>16.22</v>
      </c>
      <c r="L13">
        <f>ROUND(ABS(C13-B13),2)</f>
        <v>0.03</v>
      </c>
      <c r="M13" t="str">
        <f>IF(L13&lt;=$U$1,"DAT","LOI")</f>
        <v>DAT</v>
      </c>
      <c r="Y13" t="str">
        <v>Tong SoLuong x KhoiLuong</v>
      </c>
      <c r="Z13">
        <f>SUMPRODUCT(E2:E13,J2:J13)</f>
        <v>145.784</v>
      </c>
    </row>
  </sheetData>
  <ignoredErrors>
    <ignoredError numberStoredAsText="1" sqref="A1:Z13"/>
  </ignoredErrors>
</worksheet>
</file>

<file path=xl/worksheets/sheet71.xml><?xml version="1.0" encoding="utf-8"?>
<worksheet xmlns="http://schemas.openxmlformats.org/spreadsheetml/2006/main" xmlns:r="http://schemas.openxmlformats.org/officeDocument/2006/relationships">
  <dimension ref="A1:E109"/>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t="str">
        <v>THEP</v>
      </c>
      <c r="C2">
        <f>'cokhi'!F2</f>
      </c>
      <c r="D2">
        <f>IF(ISERROR(C2),LEFT(B2&amp;"",1)="#",IF(ISNUMBER(C2),AND(ISNUMBER(B2),ABS(C2-B2)&lt;=0.000001*MAX(1,ABS(B2))),EXACT(C2&amp;"",B2&amp;"")))</f>
      </c>
      <c r="E2">
        <f>ISERROR(C2)</f>
      </c>
    </row>
    <row r="3">
      <c r="A3" t="str">
        <v>F3</v>
      </c>
      <c r="B3" t="str">
        <v>NHOM</v>
      </c>
      <c r="C3">
        <f>'cokhi'!F3</f>
      </c>
      <c r="D3">
        <f>IF(ISERROR(C3),LEFT(B3&amp;"",1)="#",IF(ISNUMBER(C3),AND(ISNUMBER(B3),ABS(C3-B3)&lt;=0.000001*MAX(1,ABS(B3))),EXACT(C3&amp;"",B3&amp;"")))</f>
      </c>
      <c r="E3">
        <f>ISERROR(C3)</f>
      </c>
    </row>
    <row r="4">
      <c r="A4" t="str">
        <v>F4</v>
      </c>
      <c r="B4" t="str">
        <v>DONG</v>
      </c>
      <c r="C4">
        <f>'cokhi'!F4</f>
      </c>
      <c r="D4">
        <f>IF(ISERROR(C4),LEFT(B4&amp;"",1)="#",IF(ISNUMBER(C4),AND(ISNUMBER(B4),ABS(C4-B4)&lt;=0.000001*MAX(1,ABS(B4))),EXACT(C4&amp;"",B4&amp;"")))</f>
      </c>
      <c r="E4">
        <f>ISERROR(C4)</f>
      </c>
    </row>
    <row r="5">
      <c r="A5" t="str">
        <v>F5</v>
      </c>
      <c r="B5" t="str">
        <v>INOX</v>
      </c>
      <c r="C5">
        <f>'cokhi'!F5</f>
      </c>
      <c r="D5">
        <f>IF(ISERROR(C5),LEFT(B5&amp;"",1)="#",IF(ISNUMBER(C5),AND(ISNUMBER(B5),ABS(C5-B5)&lt;=0.000001*MAX(1,ABS(B5))),EXACT(C5&amp;"",B5&amp;"")))</f>
      </c>
      <c r="E5">
        <f>ISERROR(C5)</f>
      </c>
    </row>
    <row r="6">
      <c r="A6" t="str">
        <v>F6</v>
      </c>
      <c r="B6" t="str">
        <v>INOX</v>
      </c>
      <c r="C6">
        <f>'cokhi'!F6</f>
      </c>
      <c r="D6">
        <f>IF(ISERROR(C6),LEFT(B6&amp;"",1)="#",IF(ISNUMBER(C6),AND(ISNUMBER(B6),ABS(C6-B6)&lt;=0.000001*MAX(1,ABS(B6))),EXACT(C6&amp;"",B6&amp;"")))</f>
      </c>
      <c r="E6">
        <f>ISERROR(C6)</f>
      </c>
    </row>
    <row r="7">
      <c r="A7" t="str">
        <v>F7</v>
      </c>
      <c r="B7" t="str">
        <v>NHOM</v>
      </c>
      <c r="C7">
        <f>'cokhi'!F7</f>
      </c>
      <c r="D7">
        <f>IF(ISERROR(C7),LEFT(B7&amp;"",1)="#",IF(ISNUMBER(C7),AND(ISNUMBER(B7),ABS(C7-B7)&lt;=0.000001*MAX(1,ABS(B7))),EXACT(C7&amp;"",B7&amp;"")))</f>
      </c>
      <c r="E7">
        <f>ISERROR(C7)</f>
      </c>
    </row>
    <row r="8">
      <c r="A8" t="str">
        <v>F8</v>
      </c>
      <c r="B8" t="str">
        <v>NHOM</v>
      </c>
      <c r="C8">
        <f>'cokhi'!F8</f>
      </c>
      <c r="D8">
        <f>IF(ISERROR(C8),LEFT(B8&amp;"",1)="#",IF(ISNUMBER(C8),AND(ISNUMBER(B8),ABS(C8-B8)&lt;=0.000001*MAX(1,ABS(B8))),EXACT(C8&amp;"",B8&amp;"")))</f>
      </c>
      <c r="E8">
        <f>ISERROR(C8)</f>
      </c>
    </row>
    <row r="9">
      <c r="A9" t="str">
        <v>F9</v>
      </c>
      <c r="B9" t="str">
        <v>INOX</v>
      </c>
      <c r="C9">
        <f>'cokhi'!F9</f>
      </c>
      <c r="D9">
        <f>IF(ISERROR(C9),LEFT(B9&amp;"",1)="#",IF(ISNUMBER(C9),AND(ISNUMBER(B9),ABS(C9-B9)&lt;=0.000001*MAX(1,ABS(B9))),EXACT(C9&amp;"",B9&amp;"")))</f>
      </c>
      <c r="E9">
        <f>ISERROR(C9)</f>
      </c>
    </row>
    <row r="10">
      <c r="A10" t="str">
        <v>F10</v>
      </c>
      <c r="B10" t="str">
        <v>THEP</v>
      </c>
      <c r="C10">
        <f>'cokhi'!F10</f>
      </c>
      <c r="D10">
        <f>IF(ISERROR(C10),LEFT(B10&amp;"",1)="#",IF(ISNUMBER(C10),AND(ISNUMBER(B10),ABS(C10-B10)&lt;=0.000001*MAX(1,ABS(B10))),EXACT(C10&amp;"",B10&amp;"")))</f>
      </c>
      <c r="E10">
        <f>ISERROR(C10)</f>
      </c>
    </row>
    <row r="11">
      <c r="A11" t="str">
        <v>F11</v>
      </c>
      <c r="B11" t="str">
        <v>THEP</v>
      </c>
      <c r="C11">
        <f>'cokhi'!F11</f>
      </c>
      <c r="D11">
        <f>IF(ISERROR(C11),LEFT(B11&amp;"",1)="#",IF(ISNUMBER(C11),AND(ISNUMBER(B11),ABS(C11-B11)&lt;=0.000001*MAX(1,ABS(B11))),EXACT(C11&amp;"",B11&amp;"")))</f>
      </c>
      <c r="E11">
        <f>ISERROR(C11)</f>
      </c>
    </row>
    <row r="12">
      <c r="A12" t="str">
        <v>F12</v>
      </c>
      <c r="B12" t="str">
        <v>THEP</v>
      </c>
      <c r="C12">
        <f>'cokhi'!F12</f>
      </c>
      <c r="D12">
        <f>IF(ISERROR(C12),LEFT(B12&amp;"",1)="#",IF(ISNUMBER(C12),AND(ISNUMBER(B12),ABS(C12-B12)&lt;=0.000001*MAX(1,ABS(B12))),EXACT(C12&amp;"",B12&amp;"")))</f>
      </c>
      <c r="E12">
        <f>ISERROR(C12)</f>
      </c>
    </row>
    <row r="13">
      <c r="A13" t="str">
        <v>F13</v>
      </c>
      <c r="B13" t="str">
        <v>INOX</v>
      </c>
      <c r="C13">
        <f>'cokhi'!F13</f>
      </c>
      <c r="D13">
        <f>IF(ISERROR(C13),LEFT(B13&amp;"",1)="#",IF(ISNUMBER(C13),AND(ISNUMBER(B13),ABS(C13-B13)&lt;=0.000001*MAX(1,ABS(B13))),EXACT(C13&amp;"",B13&amp;"")))</f>
      </c>
      <c r="E13">
        <f>ISERROR(C13)</f>
      </c>
    </row>
    <row r="14">
      <c r="A14" t="str">
        <v>G2</v>
      </c>
      <c r="B14">
        <v>1</v>
      </c>
      <c r="C14">
        <f>'cokhi'!G2</f>
      </c>
      <c r="D14">
        <f>IF(ISERROR(C14),LEFT(B14&amp;"",1)="#",IF(ISNUMBER(C14),AND(ISNUMBER(B14),ABS(C14-B14)&lt;=0.000001*MAX(1,ABS(B14))),EXACT(C14&amp;"",B14&amp;"")))</f>
      </c>
      <c r="E14">
        <f>ISERROR(C14)</f>
      </c>
    </row>
    <row r="15">
      <c r="A15" t="str">
        <v>G3</v>
      </c>
      <c r="B15">
        <v>2</v>
      </c>
      <c r="C15">
        <f>'cokhi'!G3</f>
      </c>
      <c r="D15">
        <f>IF(ISERROR(C15),LEFT(B15&amp;"",1)="#",IF(ISNUMBER(C15),AND(ISNUMBER(B15),ABS(C15-B15)&lt;=0.000001*MAX(1,ABS(B15))),EXACT(C15&amp;"",B15&amp;"")))</f>
      </c>
      <c r="E15">
        <f>ISERROR(C15)</f>
      </c>
    </row>
    <row r="16">
      <c r="A16" t="str">
        <v>G4</v>
      </c>
      <c r="B16">
        <v>3</v>
      </c>
      <c r="C16">
        <f>'cokhi'!G4</f>
      </c>
      <c r="D16">
        <f>IF(ISERROR(C16),LEFT(B16&amp;"",1)="#",IF(ISNUMBER(C16),AND(ISNUMBER(B16),ABS(C16-B16)&lt;=0.000001*MAX(1,ABS(B16))),EXACT(C16&amp;"",B16&amp;"")))</f>
      </c>
      <c r="E16">
        <f>ISERROR(C16)</f>
      </c>
    </row>
    <row r="17">
      <c r="A17" t="str">
        <v>G5</v>
      </c>
      <c r="B17">
        <v>4</v>
      </c>
      <c r="C17">
        <f>'cokhi'!G5</f>
      </c>
      <c r="D17">
        <f>IF(ISERROR(C17),LEFT(B17&amp;"",1)="#",IF(ISNUMBER(C17),AND(ISNUMBER(B17),ABS(C17-B17)&lt;=0.000001*MAX(1,ABS(B17))),EXACT(C17&amp;"",B17&amp;"")))</f>
      </c>
      <c r="E17">
        <f>ISERROR(C17)</f>
      </c>
    </row>
    <row r="18">
      <c r="A18" t="str">
        <v>G6</v>
      </c>
      <c r="B18">
        <v>5</v>
      </c>
      <c r="C18">
        <f>'cokhi'!G6</f>
      </c>
      <c r="D18">
        <f>IF(ISERROR(C18),LEFT(B18&amp;"",1)="#",IF(ISNUMBER(C18),AND(ISNUMBER(B18),ABS(C18-B18)&lt;=0.000001*MAX(1,ABS(B18))),EXACT(C18&amp;"",B18&amp;"")))</f>
      </c>
      <c r="E18">
        <f>ISERROR(C18)</f>
      </c>
    </row>
    <row r="19">
      <c r="A19" t="str">
        <v>G7</v>
      </c>
      <c r="B19">
        <v>6</v>
      </c>
      <c r="C19">
        <f>'cokhi'!G7</f>
      </c>
      <c r="D19">
        <f>IF(ISERROR(C19),LEFT(B19&amp;"",1)="#",IF(ISNUMBER(C19),AND(ISNUMBER(B19),ABS(C19-B19)&lt;=0.000001*MAX(1,ABS(B19))),EXACT(C19&amp;"",B19&amp;"")))</f>
      </c>
      <c r="E19">
        <f>ISERROR(C19)</f>
      </c>
    </row>
    <row r="20">
      <c r="A20" t="str">
        <v>G8</v>
      </c>
      <c r="B20">
        <v>7</v>
      </c>
      <c r="C20">
        <f>'cokhi'!G8</f>
      </c>
      <c r="D20">
        <f>IF(ISERROR(C20),LEFT(B20&amp;"",1)="#",IF(ISNUMBER(C20),AND(ISNUMBER(B20),ABS(C20-B20)&lt;=0.000001*MAX(1,ABS(B20))),EXACT(C20&amp;"",B20&amp;"")))</f>
      </c>
      <c r="E20">
        <f>ISERROR(C20)</f>
      </c>
    </row>
    <row r="21">
      <c r="A21" t="str">
        <v>G9</v>
      </c>
      <c r="B21">
        <v>8</v>
      </c>
      <c r="C21">
        <f>'cokhi'!G9</f>
      </c>
      <c r="D21">
        <f>IF(ISERROR(C21),LEFT(B21&amp;"",1)="#",IF(ISNUMBER(C21),AND(ISNUMBER(B21),ABS(C21-B21)&lt;=0.000001*MAX(1,ABS(B21))),EXACT(C21&amp;"",B21&amp;"")))</f>
      </c>
      <c r="E21">
        <f>ISERROR(C21)</f>
      </c>
    </row>
    <row r="22">
      <c r="A22" t="str">
        <v>G10</v>
      </c>
      <c r="B22">
        <v>9</v>
      </c>
      <c r="C22">
        <f>'cokhi'!G10</f>
      </c>
      <c r="D22">
        <f>IF(ISERROR(C22),LEFT(B22&amp;"",1)="#",IF(ISNUMBER(C22),AND(ISNUMBER(B22),ABS(C22-B22)&lt;=0.000001*MAX(1,ABS(B22))),EXACT(C22&amp;"",B22&amp;"")))</f>
      </c>
      <c r="E22">
        <f>ISERROR(C22)</f>
      </c>
    </row>
    <row r="23">
      <c r="A23" t="str">
        <v>G11</v>
      </c>
      <c r="B23">
        <v>10</v>
      </c>
      <c r="C23">
        <f>'cokhi'!G11</f>
      </c>
      <c r="D23">
        <f>IF(ISERROR(C23),LEFT(B23&amp;"",1)="#",IF(ISNUMBER(C23),AND(ISNUMBER(B23),ABS(C23-B23)&lt;=0.000001*MAX(1,ABS(B23))),EXACT(C23&amp;"",B23&amp;"")))</f>
      </c>
      <c r="E23">
        <f>ISERROR(C23)</f>
      </c>
    </row>
    <row r="24">
      <c r="A24" t="str">
        <v>G12</v>
      </c>
      <c r="B24">
        <v>11</v>
      </c>
      <c r="C24">
        <f>'cokhi'!G12</f>
      </c>
      <c r="D24">
        <f>IF(ISERROR(C24),LEFT(B24&amp;"",1)="#",IF(ISNUMBER(C24),AND(ISNUMBER(B24),ABS(C24-B24)&lt;=0.000001*MAX(1,ABS(B24))),EXACT(C24&amp;"",B24&amp;"")))</f>
      </c>
      <c r="E24">
        <f>ISERROR(C24)</f>
      </c>
    </row>
    <row r="25">
      <c r="A25" t="str">
        <v>G13</v>
      </c>
      <c r="B25">
        <v>12</v>
      </c>
      <c r="C25">
        <f>'cokhi'!G13</f>
      </c>
      <c r="D25">
        <f>IF(ISERROR(C25),LEFT(B25&amp;"",1)="#",IF(ISNUMBER(C25),AND(ISNUMBER(B25),ABS(C25-B25)&lt;=0.000001*MAX(1,ABS(B25))),EXACT(C25&amp;"",B25&amp;"")))</f>
      </c>
      <c r="E25">
        <f>ISERROR(C25)</f>
      </c>
    </row>
    <row r="26">
      <c r="A26" t="str">
        <v>H2</v>
      </c>
      <c r="B26">
        <v>7.85</v>
      </c>
      <c r="C26">
        <f>'cokhi'!H2</f>
      </c>
      <c r="D26">
        <f>IF(ISERROR(C26),LEFT(B26&amp;"",1)="#",IF(ISNUMBER(C26),AND(ISNUMBER(B26),ABS(C26-B26)&lt;=0.000001*MAX(1,ABS(B26))),EXACT(C26&amp;"",B26&amp;"")))</f>
      </c>
      <c r="E26">
        <f>ISERROR(C26)</f>
      </c>
    </row>
    <row r="27">
      <c r="A27" t="str">
        <v>H3</v>
      </c>
      <c r="B27">
        <v>2.7</v>
      </c>
      <c r="C27">
        <f>'cokhi'!H3</f>
      </c>
      <c r="D27">
        <f>IF(ISERROR(C27),LEFT(B27&amp;"",1)="#",IF(ISNUMBER(C27),AND(ISNUMBER(B27),ABS(C27-B27)&lt;=0.000001*MAX(1,ABS(B27))),EXACT(C27&amp;"",B27&amp;"")))</f>
      </c>
      <c r="E27">
        <f>ISERROR(C27)</f>
      </c>
    </row>
    <row r="28">
      <c r="A28" t="str">
        <v>H4</v>
      </c>
      <c r="B28">
        <v>8.96</v>
      </c>
      <c r="C28">
        <f>'cokhi'!H4</f>
      </c>
      <c r="D28">
        <f>IF(ISERROR(C28),LEFT(B28&amp;"",1)="#",IF(ISNUMBER(C28),AND(ISNUMBER(B28),ABS(C28-B28)&lt;=0.000001*MAX(1,ABS(B28))),EXACT(C28&amp;"",B28&amp;"")))</f>
      </c>
      <c r="E28">
        <f>ISERROR(C28)</f>
      </c>
    </row>
    <row r="29">
      <c r="A29" t="str">
        <v>H5</v>
      </c>
      <c r="B29">
        <v>7.93</v>
      </c>
      <c r="C29">
        <f>'cokhi'!H5</f>
      </c>
      <c r="D29">
        <f>IF(ISERROR(C29),LEFT(B29&amp;"",1)="#",IF(ISNUMBER(C29),AND(ISNUMBER(B29),ABS(C29-B29)&lt;=0.000001*MAX(1,ABS(B29))),EXACT(C29&amp;"",B29&amp;"")))</f>
      </c>
      <c r="E29">
        <f>ISERROR(C29)</f>
      </c>
    </row>
    <row r="30">
      <c r="A30" t="str">
        <v>H6</v>
      </c>
      <c r="B30">
        <v>7.93</v>
      </c>
      <c r="C30">
        <f>'cokhi'!H6</f>
      </c>
      <c r="D30">
        <f>IF(ISERROR(C30),LEFT(B30&amp;"",1)="#",IF(ISNUMBER(C30),AND(ISNUMBER(B30),ABS(C30-B30)&lt;=0.000001*MAX(1,ABS(B30))),EXACT(C30&amp;"",B30&amp;"")))</f>
      </c>
      <c r="E30">
        <f>ISERROR(C30)</f>
      </c>
    </row>
    <row r="31">
      <c r="A31" t="str">
        <v>H7</v>
      </c>
      <c r="B31">
        <v>2.7</v>
      </c>
      <c r="C31">
        <f>'cokhi'!H7</f>
      </c>
      <c r="D31">
        <f>IF(ISERROR(C31),LEFT(B31&amp;"",1)="#",IF(ISNUMBER(C31),AND(ISNUMBER(B31),ABS(C31-B31)&lt;=0.000001*MAX(1,ABS(B31))),EXACT(C31&amp;"",B31&amp;"")))</f>
      </c>
      <c r="E31">
        <f>ISERROR(C31)</f>
      </c>
    </row>
    <row r="32">
      <c r="A32" t="str">
        <v>H8</v>
      </c>
      <c r="B32">
        <v>2.7</v>
      </c>
      <c r="C32">
        <f>'cokhi'!H8</f>
      </c>
      <c r="D32">
        <f>IF(ISERROR(C32),LEFT(B32&amp;"",1)="#",IF(ISNUMBER(C32),AND(ISNUMBER(B32),ABS(C32-B32)&lt;=0.000001*MAX(1,ABS(B32))),EXACT(C32&amp;"",B32&amp;"")))</f>
      </c>
      <c r="E32">
        <f>ISERROR(C32)</f>
      </c>
    </row>
    <row r="33">
      <c r="A33" t="str">
        <v>H9</v>
      </c>
      <c r="B33">
        <v>7.93</v>
      </c>
      <c r="C33">
        <f>'cokhi'!H9</f>
      </c>
      <c r="D33">
        <f>IF(ISERROR(C33),LEFT(B33&amp;"",1)="#",IF(ISNUMBER(C33),AND(ISNUMBER(B33),ABS(C33-B33)&lt;=0.000001*MAX(1,ABS(B33))),EXACT(C33&amp;"",B33&amp;"")))</f>
      </c>
      <c r="E33">
        <f>ISERROR(C33)</f>
      </c>
    </row>
    <row r="34">
      <c r="A34" t="str">
        <v>H10</v>
      </c>
      <c r="B34">
        <v>7.85</v>
      </c>
      <c r="C34">
        <f>'cokhi'!H10</f>
      </c>
      <c r="D34">
        <f>IF(ISERROR(C34),LEFT(B34&amp;"",1)="#",IF(ISNUMBER(C34),AND(ISNUMBER(B34),ABS(C34-B34)&lt;=0.000001*MAX(1,ABS(B34))),EXACT(C34&amp;"",B34&amp;"")))</f>
      </c>
      <c r="E34">
        <f>ISERROR(C34)</f>
      </c>
    </row>
    <row r="35">
      <c r="A35" t="str">
        <v>H11</v>
      </c>
      <c r="B35">
        <v>7.85</v>
      </c>
      <c r="C35">
        <f>'cokhi'!H11</f>
      </c>
      <c r="D35">
        <f>IF(ISERROR(C35),LEFT(B35&amp;"",1)="#",IF(ISNUMBER(C35),AND(ISNUMBER(B35),ABS(C35-B35)&lt;=0.000001*MAX(1,ABS(B35))),EXACT(C35&amp;"",B35&amp;"")))</f>
      </c>
      <c r="E35">
        <f>ISERROR(C35)</f>
      </c>
    </row>
    <row r="36">
      <c r="A36" t="str">
        <v>H12</v>
      </c>
      <c r="B36">
        <v>7.85</v>
      </c>
      <c r="C36">
        <f>'cokhi'!H12</f>
      </c>
      <c r="D36">
        <f>IF(ISERROR(C36),LEFT(B36&amp;"",1)="#",IF(ISNUMBER(C36),AND(ISNUMBER(B36),ABS(C36-B36)&lt;=0.000001*MAX(1,ABS(B36))),EXACT(C36&amp;"",B36&amp;"")))</f>
      </c>
      <c r="E36">
        <f>ISERROR(C36)</f>
      </c>
    </row>
    <row r="37">
      <c r="A37" t="str">
        <v>H13</v>
      </c>
      <c r="B37">
        <v>7.93</v>
      </c>
      <c r="C37">
        <f>'cokhi'!H13</f>
      </c>
      <c r="D37">
        <f>IF(ISERROR(C37),LEFT(B37&amp;"",1)="#",IF(ISNUMBER(C37),AND(ISNUMBER(B37),ABS(C37-B37)&lt;=0.000001*MAX(1,ABS(B37))),EXACT(C37&amp;"",B37&amp;"")))</f>
      </c>
      <c r="E37">
        <f>ISERROR(C37)</f>
      </c>
    </row>
    <row r="38">
      <c r="A38" t="str">
        <v>I2</v>
      </c>
      <c r="B38">
        <v>107.99</v>
      </c>
      <c r="C38">
        <f>'cokhi'!I2</f>
      </c>
      <c r="D38">
        <f>IF(ISERROR(C38),LEFT(B38&amp;"",1)="#",IF(ISNUMBER(C38),AND(ISNUMBER(B38),ABS(C38-B38)&lt;=0.000001*MAX(1,ABS(B38))),EXACT(C38&amp;"",B38&amp;"")))</f>
      </c>
      <c r="E38">
        <f>ISERROR(C38)</f>
      </c>
    </row>
    <row r="39">
      <c r="A39" t="str">
        <v>I3</v>
      </c>
      <c r="B39">
        <v>5.65</v>
      </c>
      <c r="C39">
        <f>'cokhi'!I3</f>
      </c>
      <c r="D39">
        <f>IF(ISERROR(C39),LEFT(B39&amp;"",1)="#",IF(ISNUMBER(C39),AND(ISNUMBER(B39),ABS(C39-B39)&lt;=0.000001*MAX(1,ABS(B39))),EXACT(C39&amp;"",B39&amp;"")))</f>
      </c>
      <c r="E39">
        <f>ISERROR(C39)</f>
      </c>
    </row>
    <row r="40">
      <c r="A40" t="str">
        <v>I4</v>
      </c>
      <c r="B40">
        <v>30.54</v>
      </c>
      <c r="C40">
        <f>'cokhi'!I4</f>
      </c>
      <c r="D40">
        <f>IF(ISERROR(C40),LEFT(B40&amp;"",1)="#",IF(ISNUMBER(C40),AND(ISNUMBER(B40),ABS(C40-B40)&lt;=0.000001*MAX(1,ABS(B40))),EXACT(C40&amp;"",B40&amp;"")))</f>
      </c>
      <c r="E40">
        <f>ISERROR(C40)</f>
      </c>
    </row>
    <row r="41">
      <c r="A41" t="str">
        <v>I5</v>
      </c>
      <c r="B41">
        <v>64.34</v>
      </c>
      <c r="C41">
        <f>'cokhi'!I5</f>
      </c>
      <c r="D41">
        <f>IF(ISERROR(C41),LEFT(B41&amp;"",1)="#",IF(ISNUMBER(C41),AND(ISNUMBER(B41),ABS(C41-B41)&lt;=0.000001*MAX(1,ABS(B41))),EXACT(C41&amp;"",B41&amp;"")))</f>
      </c>
      <c r="E41">
        <f>ISERROR(C41)</f>
      </c>
    </row>
    <row r="42">
      <c r="A42" t="str">
        <v>I6</v>
      </c>
      <c r="B42">
        <v>14.7</v>
      </c>
      <c r="C42">
        <f>'cokhi'!I6</f>
      </c>
      <c r="D42">
        <f>IF(ISERROR(C42),LEFT(B42&amp;"",1)="#",IF(ISNUMBER(C42),AND(ISNUMBER(B42),ABS(C42-B42)&lt;=0.000001*MAX(1,ABS(B42))),EXACT(C42&amp;"",B42&amp;"")))</f>
      </c>
      <c r="E42">
        <f>ISERROR(C42)</f>
      </c>
    </row>
    <row r="43">
      <c r="A43" t="str">
        <v>I7</v>
      </c>
      <c r="B43">
        <v>113.1</v>
      </c>
      <c r="C43">
        <f>'cokhi'!I7</f>
      </c>
      <c r="D43">
        <f>IF(ISERROR(C43),LEFT(B43&amp;"",1)="#",IF(ISNUMBER(C43),AND(ISNUMBER(B43),ABS(C43-B43)&lt;=0.000001*MAX(1,ABS(B43))),EXACT(C43&amp;"",B43&amp;"")))</f>
      </c>
      <c r="E43">
        <f>ISERROR(C43)</f>
      </c>
    </row>
    <row r="44">
      <c r="A44" t="str">
        <v>I8</v>
      </c>
      <c r="B44">
        <v>28.27</v>
      </c>
      <c r="C44">
        <f>'cokhi'!I8</f>
      </c>
      <c r="D44">
        <f>IF(ISERROR(C44),LEFT(B44&amp;"",1)="#",IF(ISNUMBER(C44),AND(ISNUMBER(B44),ABS(C44-B44)&lt;=0.000001*MAX(1,ABS(B44))),EXACT(C44&amp;"",B44&amp;"")))</f>
      </c>
      <c r="E44">
        <f>ISERROR(C44)</f>
      </c>
    </row>
    <row r="45">
      <c r="A45" t="str">
        <v>I9</v>
      </c>
      <c r="B45">
        <v>186.53</v>
      </c>
      <c r="C45">
        <f>'cokhi'!I9</f>
      </c>
      <c r="D45">
        <f>IF(ISERROR(C45),LEFT(B45&amp;"",1)="#",IF(ISNUMBER(C45),AND(ISNUMBER(B45),ABS(C45-B45)&lt;=0.000001*MAX(1,ABS(B45))),EXACT(C45&amp;"",B45&amp;"")))</f>
      </c>
      <c r="E45">
        <f>ISERROR(C45)</f>
      </c>
    </row>
    <row r="46">
      <c r="A46" t="str">
        <v>I10</v>
      </c>
      <c r="B46">
        <v>38.2</v>
      </c>
      <c r="C46">
        <f>'cokhi'!I10</f>
      </c>
      <c r="D46">
        <f>IF(ISERROR(C46),LEFT(B46&amp;"",1)="#",IF(ISNUMBER(C46),AND(ISNUMBER(B46),ABS(C46-B46)&lt;=0.000001*MAX(1,ABS(B46))),EXACT(C46&amp;"",B46&amp;"")))</f>
      </c>
      <c r="E46">
        <f>ISERROR(C46)</f>
      </c>
    </row>
    <row r="47">
      <c r="A47" t="str">
        <v>I11</v>
      </c>
      <c r="B47">
        <v>26.7</v>
      </c>
      <c r="C47">
        <f>'cokhi'!I11</f>
      </c>
      <c r="D47">
        <f>IF(ISERROR(C47),LEFT(B47&amp;"",1)="#",IF(ISNUMBER(C47),AND(ISNUMBER(B47),ABS(C47-B47)&lt;=0.000001*MAX(1,ABS(B47))),EXACT(C47&amp;"",B47&amp;"")))</f>
      </c>
      <c r="E47">
        <f>ISERROR(C47)</f>
      </c>
    </row>
    <row r="48">
      <c r="A48" t="str">
        <v>I12</v>
      </c>
      <c r="B48">
        <v>48.25</v>
      </c>
      <c r="C48">
        <f>'cokhi'!I12</f>
      </c>
      <c r="D48">
        <f>IF(ISERROR(C48),LEFT(B48&amp;"",1)="#",IF(ISNUMBER(C48),AND(ISNUMBER(B48),ABS(C48-B48)&lt;=0.000001*MAX(1,ABS(B48))),EXACT(C48&amp;"",B48&amp;"")))</f>
      </c>
      <c r="E48">
        <f>ISERROR(C48)</f>
      </c>
    </row>
    <row r="49">
      <c r="A49" t="str">
        <v>I13</v>
      </c>
      <c r="B49">
        <v>65.97</v>
      </c>
      <c r="C49">
        <f>'cokhi'!I13</f>
      </c>
      <c r="D49">
        <f>IF(ISERROR(C49),LEFT(B49&amp;"",1)="#",IF(ISNUMBER(C49),AND(ISNUMBER(B49),ABS(C49-B49)&lt;=0.000001*MAX(1,ABS(B49))),EXACT(C49&amp;"",B49&amp;"")))</f>
      </c>
      <c r="E49">
        <f>ISERROR(C49)</f>
      </c>
    </row>
    <row r="50">
      <c r="A50" t="str">
        <v>J2</v>
      </c>
      <c r="B50">
        <v>0.848</v>
      </c>
      <c r="C50">
        <f>'cokhi'!J2</f>
      </c>
      <c r="D50">
        <f>IF(ISERROR(C50),LEFT(B50&amp;"",1)="#",IF(ISNUMBER(C50),AND(ISNUMBER(B50),ABS(C50-B50)&lt;=0.000001*MAX(1,ABS(B50))),EXACT(C50&amp;"",B50&amp;"")))</f>
      </c>
      <c r="E50">
        <f>ISERROR(C50)</f>
      </c>
    </row>
    <row r="51">
      <c r="A51" t="str">
        <v>J3</v>
      </c>
      <c r="B51">
        <v>0.015</v>
      </c>
      <c r="C51">
        <f>'cokhi'!J3</f>
      </c>
      <c r="D51">
        <f>IF(ISERROR(C51),LEFT(B51&amp;"",1)="#",IF(ISNUMBER(C51),AND(ISNUMBER(B51),ABS(C51-B51)&lt;=0.000001*MAX(1,ABS(B51))),EXACT(C51&amp;"",B51&amp;"")))</f>
      </c>
      <c r="E51">
        <f>ISERROR(C51)</f>
      </c>
    </row>
    <row r="52">
      <c r="A52" t="str">
        <v>J4</v>
      </c>
      <c r="B52">
        <v>0.274</v>
      </c>
      <c r="C52">
        <f>'cokhi'!J4</f>
      </c>
      <c r="D52">
        <f>IF(ISERROR(C52),LEFT(B52&amp;"",1)="#",IF(ISNUMBER(C52),AND(ISNUMBER(B52),ABS(C52-B52)&lt;=0.000001*MAX(1,ABS(B52))),EXACT(C52&amp;"",B52&amp;"")))</f>
      </c>
      <c r="E52">
        <f>ISERROR(C52)</f>
      </c>
    </row>
    <row r="53">
      <c r="A53" t="str">
        <v>J5</v>
      </c>
      <c r="B53">
        <v>0.51</v>
      </c>
      <c r="C53">
        <f>'cokhi'!J5</f>
      </c>
      <c r="D53">
        <f>IF(ISERROR(C53),LEFT(B53&amp;"",1)="#",IF(ISNUMBER(C53),AND(ISNUMBER(B53),ABS(C53-B53)&lt;=0.000001*MAX(1,ABS(B53))),EXACT(C53&amp;"",B53&amp;"")))</f>
      </c>
      <c r="E53">
        <f>ISERROR(C53)</f>
      </c>
    </row>
    <row r="54">
      <c r="A54" t="str">
        <v>J6</v>
      </c>
      <c r="B54">
        <v>0.117</v>
      </c>
      <c r="C54">
        <f>'cokhi'!J6</f>
      </c>
      <c r="D54">
        <f>IF(ISERROR(C54),LEFT(B54&amp;"",1)="#",IF(ISNUMBER(C54),AND(ISNUMBER(B54),ABS(C54-B54)&lt;=0.000001*MAX(1,ABS(B54))),EXACT(C54&amp;"",B54&amp;"")))</f>
      </c>
      <c r="E54">
        <f>ISERROR(C54)</f>
      </c>
    </row>
    <row r="55">
      <c r="A55" t="str">
        <v>J7</v>
      </c>
      <c r="B55">
        <v>0.305</v>
      </c>
      <c r="C55">
        <f>'cokhi'!J7</f>
      </c>
      <c r="D55">
        <f>IF(ISERROR(C55),LEFT(B55&amp;"",1)="#",IF(ISNUMBER(C55),AND(ISNUMBER(B55),ABS(C55-B55)&lt;=0.000001*MAX(1,ABS(B55))),EXACT(C55&amp;"",B55&amp;"")))</f>
      </c>
      <c r="E55">
        <f>ISERROR(C55)</f>
      </c>
    </row>
    <row r="56">
      <c r="A56" t="str">
        <v>J8</v>
      </c>
      <c r="B56">
        <v>0.076</v>
      </c>
      <c r="C56">
        <f>'cokhi'!J8</f>
      </c>
      <c r="D56">
        <f>IF(ISERROR(C56),LEFT(B56&amp;"",1)="#",IF(ISNUMBER(C56),AND(ISNUMBER(B56),ABS(C56-B56)&lt;=0.000001*MAX(1,ABS(B56))),EXACT(C56&amp;"",B56&amp;"")))</f>
      </c>
      <c r="E56">
        <f>ISERROR(C56)</f>
      </c>
    </row>
    <row r="57">
      <c r="A57" t="str">
        <v>J9</v>
      </c>
      <c r="B57">
        <v>1.479</v>
      </c>
      <c r="C57">
        <f>'cokhi'!J9</f>
      </c>
      <c r="D57">
        <f>IF(ISERROR(C57),LEFT(B57&amp;"",1)="#",IF(ISNUMBER(C57),AND(ISNUMBER(B57),ABS(C57-B57)&lt;=0.000001*MAX(1,ABS(B57))),EXACT(C57&amp;"",B57&amp;"")))</f>
      </c>
      <c r="E57">
        <f>ISERROR(C57)</f>
      </c>
    </row>
    <row r="58">
      <c r="A58" t="str">
        <v>J10</v>
      </c>
      <c r="B58">
        <v>0.3</v>
      </c>
      <c r="C58">
        <f>'cokhi'!J10</f>
      </c>
      <c r="D58">
        <f>IF(ISERROR(C58),LEFT(B58&amp;"",1)="#",IF(ISNUMBER(C58),AND(ISNUMBER(B58),ABS(C58-B58)&lt;=0.000001*MAX(1,ABS(B58))),EXACT(C58&amp;"",B58&amp;"")))</f>
      </c>
      <c r="E58">
        <f>ISERROR(C58)</f>
      </c>
    </row>
    <row r="59">
      <c r="A59" t="str">
        <v>J11</v>
      </c>
      <c r="B59">
        <v>0.21</v>
      </c>
      <c r="C59">
        <f>'cokhi'!J11</f>
      </c>
      <c r="D59">
        <f>IF(ISERROR(C59),LEFT(B59&amp;"",1)="#",IF(ISNUMBER(C59),AND(ISNUMBER(B59),ABS(C59-B59)&lt;=0.000001*MAX(1,ABS(B59))),EXACT(C59&amp;"",B59&amp;"")))</f>
      </c>
      <c r="E59">
        <f>ISERROR(C59)</f>
      </c>
    </row>
    <row r="60">
      <c r="A60" t="str">
        <v>J12</v>
      </c>
      <c r="B60">
        <v>0.379</v>
      </c>
      <c r="C60">
        <f>'cokhi'!J12</f>
      </c>
      <c r="D60">
        <f>IF(ISERROR(C60),LEFT(B60&amp;"",1)="#",IF(ISNUMBER(C60),AND(ISNUMBER(B60),ABS(C60-B60)&lt;=0.000001*MAX(1,ABS(B60))),EXACT(C60&amp;"",B60&amp;"")))</f>
      </c>
      <c r="E60">
        <f>ISERROR(C60)</f>
      </c>
    </row>
    <row r="61">
      <c r="A61" t="str">
        <v>J13</v>
      </c>
      <c r="B61">
        <v>0.523</v>
      </c>
      <c r="C61">
        <f>'cokhi'!J13</f>
      </c>
      <c r="D61">
        <f>IF(ISERROR(C61),LEFT(B61&amp;"",1)="#",IF(ISNUMBER(C61),AND(ISNUMBER(B61),ABS(C61-B61)&lt;=0.000001*MAX(1,ABS(B61))),EXACT(C61&amp;"",B61&amp;"")))</f>
      </c>
      <c r="E61">
        <f>ISERROR(C61)</f>
      </c>
    </row>
    <row r="62">
      <c r="A62" t="str">
        <v>K2</v>
      </c>
      <c r="B62">
        <v>2.54</v>
      </c>
      <c r="C62">
        <f>'cokhi'!K2</f>
      </c>
      <c r="D62">
        <f>IF(ISERROR(C62),LEFT(B62&amp;"",1)="#",IF(ISNUMBER(C62),AND(ISNUMBER(B62),ABS(C62-B62)&lt;=0.000001*MAX(1,ABS(B62))),EXACT(C62&amp;"",B62&amp;"")))</f>
      </c>
      <c r="E62">
        <f>ISERROR(C62)</f>
      </c>
    </row>
    <row r="63">
      <c r="A63" t="str">
        <v>K3</v>
      </c>
      <c r="B63">
        <v>0.69</v>
      </c>
      <c r="C63">
        <f>'cokhi'!K3</f>
      </c>
      <c r="D63">
        <f>IF(ISERROR(C63),LEFT(B63&amp;"",1)="#",IF(ISNUMBER(C63),AND(ISNUMBER(B63),ABS(C63-B63)&lt;=0.000001*MAX(1,ABS(B63))),EXACT(C63&amp;"",B63&amp;"")))</f>
      </c>
      <c r="E63">
        <f>ISERROR(C63)</f>
      </c>
    </row>
    <row r="64">
      <c r="A64" t="str">
        <v>K4</v>
      </c>
      <c r="B64">
        <v>4.38</v>
      </c>
      <c r="C64">
        <f>'cokhi'!K4</f>
      </c>
      <c r="D64">
        <f>IF(ISERROR(C64),LEFT(B64&amp;"",1)="#",IF(ISNUMBER(C64),AND(ISNUMBER(B64),ABS(C64-B64)&lt;=0.000001*MAX(1,ABS(B64))),EXACT(C64&amp;"",B64&amp;"")))</f>
      </c>
      <c r="E64">
        <f>ISERROR(C64)</f>
      </c>
    </row>
    <row r="65">
      <c r="A65" t="str">
        <v>K5</v>
      </c>
      <c r="B65">
        <v>21.94</v>
      </c>
      <c r="C65">
        <f>'cokhi'!K5</f>
      </c>
      <c r="D65">
        <f>IF(ISERROR(C65),LEFT(B65&amp;"",1)="#",IF(ISNUMBER(C65),AND(ISNUMBER(B65),ABS(C65-B65)&lt;=0.000001*MAX(1,ABS(B65))),EXACT(C65&amp;"",B65&amp;"")))</f>
      </c>
      <c r="E65">
        <f>ISERROR(C65)</f>
      </c>
    </row>
    <row r="66">
      <c r="A66" t="str">
        <v>K6</v>
      </c>
      <c r="B66">
        <v>5.48</v>
      </c>
      <c r="C66">
        <f>'cokhi'!K6</f>
      </c>
      <c r="D66">
        <f>IF(ISERROR(C66),LEFT(B66&amp;"",1)="#",IF(ISNUMBER(C66),AND(ISNUMBER(B66),ABS(C66-B66)&lt;=0.000001*MAX(1,ABS(B66))),EXACT(C66&amp;"",B66&amp;"")))</f>
      </c>
      <c r="E66">
        <f>ISERROR(C66)</f>
      </c>
    </row>
    <row r="67">
      <c r="A67" t="str">
        <v>K7</v>
      </c>
      <c r="B67">
        <v>8.86</v>
      </c>
      <c r="C67">
        <f>'cokhi'!K7</f>
      </c>
      <c r="D67">
        <f>IF(ISERROR(C67),LEFT(B67&amp;"",1)="#",IF(ISNUMBER(C67),AND(ISNUMBER(B67),ABS(C67-B67)&lt;=0.000001*MAX(1,ABS(B67))),EXACT(C67&amp;"",B67&amp;"")))</f>
      </c>
      <c r="E67">
        <f>ISERROR(C67)</f>
      </c>
    </row>
    <row r="68">
      <c r="A68" t="str">
        <v>K8</v>
      </c>
      <c r="B68">
        <v>3.82</v>
      </c>
      <c r="C68">
        <f>'cokhi'!K8</f>
      </c>
      <c r="D68">
        <f>IF(ISERROR(C68),LEFT(B68&amp;"",1)="#",IF(ISNUMBER(C68),AND(ISNUMBER(B68),ABS(C68-B68)&lt;=0.000001*MAX(1,ABS(B68))),EXACT(C68&amp;"",B68&amp;"")))</f>
      </c>
      <c r="E68">
        <f>ISERROR(C68)</f>
      </c>
    </row>
    <row r="69">
      <c r="A69" t="str">
        <v>K9</v>
      </c>
      <c r="B69">
        <v>59.17</v>
      </c>
      <c r="C69">
        <f>'cokhi'!K9</f>
      </c>
      <c r="D69">
        <f>IF(ISERROR(C69),LEFT(B69&amp;"",1)="#",IF(ISNUMBER(C69),AND(ISNUMBER(B69),ABS(C69-B69)&lt;=0.000001*MAX(1,ABS(B69))),EXACT(C69&amp;"",B69&amp;"")))</f>
      </c>
      <c r="E69">
        <f>ISERROR(C69)</f>
      </c>
    </row>
    <row r="70">
      <c r="A70" t="str">
        <v>K10</v>
      </c>
      <c r="B70">
        <v>5.1</v>
      </c>
      <c r="C70">
        <f>'cokhi'!K10</f>
      </c>
      <c r="D70">
        <f>IF(ISERROR(C70),LEFT(B70&amp;"",1)="#",IF(ISNUMBER(C70),AND(ISNUMBER(B70),ABS(C70-B70)&lt;=0.000001*MAX(1,ABS(B70))),EXACT(C70&amp;"",B70&amp;"")))</f>
      </c>
      <c r="E70">
        <f>ISERROR(C70)</f>
      </c>
    </row>
    <row r="71">
      <c r="A71" t="str">
        <v>K11</v>
      </c>
      <c r="B71">
        <v>3.98</v>
      </c>
      <c r="C71">
        <f>'cokhi'!K11</f>
      </c>
      <c r="D71">
        <f>IF(ISERROR(C71),LEFT(B71&amp;"",1)="#",IF(ISNUMBER(C71),AND(ISNUMBER(B71),ABS(C71-B71)&lt;=0.000001*MAX(1,ABS(B71))),EXACT(C71&amp;"",B71&amp;"")))</f>
      </c>
      <c r="E71">
        <f>ISERROR(C71)</f>
      </c>
    </row>
    <row r="72">
      <c r="A72" t="str">
        <v>K12</v>
      </c>
      <c r="B72">
        <v>13.64</v>
      </c>
      <c r="C72">
        <f>'cokhi'!K12</f>
      </c>
      <c r="D72">
        <f>IF(ISERROR(C72),LEFT(B72&amp;"",1)="#",IF(ISNUMBER(C72),AND(ISNUMBER(B72),ABS(C72-B72)&lt;=0.000001*MAX(1,ABS(B72))),EXACT(C72&amp;"",B72&amp;"")))</f>
      </c>
      <c r="E72">
        <f>ISERROR(C72)</f>
      </c>
    </row>
    <row r="73">
      <c r="A73" t="str">
        <v>K13</v>
      </c>
      <c r="B73">
        <v>16.22</v>
      </c>
      <c r="C73">
        <f>'cokhi'!K13</f>
      </c>
      <c r="D73">
        <f>IF(ISERROR(C73),LEFT(B73&amp;"",1)="#",IF(ISNUMBER(C73),AND(ISNUMBER(B73),ABS(C73-B73)&lt;=0.000001*MAX(1,ABS(B73))),EXACT(C73&amp;"",B73&amp;"")))</f>
      </c>
      <c r="E73">
        <f>ISERROR(C73)</f>
      </c>
    </row>
    <row r="74">
      <c r="A74" t="str">
        <v>L2</v>
      </c>
      <c r="B74">
        <v>0.02</v>
      </c>
      <c r="C74">
        <f>'cokhi'!L2</f>
      </c>
      <c r="D74">
        <f>IF(ISERROR(C74),LEFT(B74&amp;"",1)="#",IF(ISNUMBER(C74),AND(ISNUMBER(B74),ABS(C74-B74)&lt;=0.000001*MAX(1,ABS(B74))),EXACT(C74&amp;"",B74&amp;"")))</f>
      </c>
      <c r="E74">
        <f>ISERROR(C74)</f>
      </c>
    </row>
    <row r="75">
      <c r="A75" t="str">
        <v>L3</v>
      </c>
      <c r="B75">
        <v>0.07</v>
      </c>
      <c r="C75">
        <f>'cokhi'!L3</f>
      </c>
      <c r="D75">
        <f>IF(ISERROR(C75),LEFT(B75&amp;"",1)="#",IF(ISNUMBER(C75),AND(ISNUMBER(B75),ABS(C75-B75)&lt;=0.000001*MAX(1,ABS(B75))),EXACT(C75&amp;"",B75&amp;"")))</f>
      </c>
      <c r="E75">
        <f>ISERROR(C75)</f>
      </c>
    </row>
    <row r="76">
      <c r="A76" t="str">
        <v>L4</v>
      </c>
      <c r="B76">
        <v>0.04</v>
      </c>
      <c r="C76">
        <f>'cokhi'!L4</f>
      </c>
      <c r="D76">
        <f>IF(ISERROR(C76),LEFT(B76&amp;"",1)="#",IF(ISNUMBER(C76),AND(ISNUMBER(B76),ABS(C76-B76)&lt;=0.000001*MAX(1,ABS(B76))),EXACT(C76&amp;"",B76&amp;"")))</f>
      </c>
      <c r="E76">
        <f>ISERROR(C76)</f>
      </c>
    </row>
    <row r="77">
      <c r="A77" t="str">
        <v>L5</v>
      </c>
      <c r="B77">
        <v>0.06</v>
      </c>
      <c r="C77">
        <f>'cokhi'!L5</f>
      </c>
      <c r="D77">
        <f>IF(ISERROR(C77),LEFT(B77&amp;"",1)="#",IF(ISNUMBER(C77),AND(ISNUMBER(B77),ABS(C77-B77)&lt;=0.000001*MAX(1,ABS(B77))),EXACT(C77&amp;"",B77&amp;"")))</f>
      </c>
      <c r="E77">
        <f>ISERROR(C77)</f>
      </c>
    </row>
    <row r="78">
      <c r="A78" t="str">
        <v>L6</v>
      </c>
      <c r="B78">
        <v>0.05</v>
      </c>
      <c r="C78">
        <f>'cokhi'!L6</f>
      </c>
      <c r="D78">
        <f>IF(ISERROR(C78),LEFT(B78&amp;"",1)="#",IF(ISNUMBER(C78),AND(ISNUMBER(B78),ABS(C78-B78)&lt;=0.000001*MAX(1,ABS(B78))),EXACT(C78&amp;"",B78&amp;"")))</f>
      </c>
      <c r="E78">
        <f>ISERROR(C78)</f>
      </c>
    </row>
    <row r="79">
      <c r="A79" t="str">
        <v>L7</v>
      </c>
      <c r="B79">
        <v>0.05</v>
      </c>
      <c r="C79">
        <f>'cokhi'!L7</f>
      </c>
      <c r="D79">
        <f>IF(ISERROR(C79),LEFT(B79&amp;"",1)="#",IF(ISNUMBER(C79),AND(ISNUMBER(B79),ABS(C79-B79)&lt;=0.000001*MAX(1,ABS(B79))),EXACT(C79&amp;"",B79&amp;"")))</f>
      </c>
      <c r="E79">
        <f>ISERROR(C79)</f>
      </c>
    </row>
    <row r="80">
      <c r="A80" t="str">
        <v>L8</v>
      </c>
      <c r="B80">
        <v>0.05</v>
      </c>
      <c r="C80">
        <f>'cokhi'!L8</f>
      </c>
      <c r="D80">
        <f>IF(ISERROR(C80),LEFT(B80&amp;"",1)="#",IF(ISNUMBER(C80),AND(ISNUMBER(B80),ABS(C80-B80)&lt;=0.000001*MAX(1,ABS(B80))),EXACT(C80&amp;"",B80&amp;"")))</f>
      </c>
      <c r="E80">
        <f>ISERROR(C80)</f>
      </c>
    </row>
    <row r="81">
      <c r="A81" t="str">
        <v>L9</v>
      </c>
      <c r="B81">
        <v>0.06</v>
      </c>
      <c r="C81">
        <f>'cokhi'!L9</f>
      </c>
      <c r="D81">
        <f>IF(ISERROR(C81),LEFT(B81&amp;"",1)="#",IF(ISNUMBER(C81),AND(ISNUMBER(B81),ABS(C81-B81)&lt;=0.000001*MAX(1,ABS(B81))),EXACT(C81&amp;"",B81&amp;"")))</f>
      </c>
      <c r="E81">
        <f>ISERROR(C81)</f>
      </c>
    </row>
    <row r="82">
      <c r="A82" t="str">
        <v>L10</v>
      </c>
      <c r="B82">
        <v>0.07</v>
      </c>
      <c r="C82">
        <f>'cokhi'!L10</f>
      </c>
      <c r="D82">
        <f>IF(ISERROR(C82),LEFT(B82&amp;"",1)="#",IF(ISNUMBER(C82),AND(ISNUMBER(B82),ABS(C82-B82)&lt;=0.000001*MAX(1,ABS(B82))),EXACT(C82&amp;"",B82&amp;"")))</f>
      </c>
      <c r="E82">
        <f>ISERROR(C82)</f>
      </c>
    </row>
    <row r="83">
      <c r="A83" t="str">
        <v>L11</v>
      </c>
      <c r="B83">
        <v>0.02</v>
      </c>
      <c r="C83">
        <f>'cokhi'!L11</f>
      </c>
      <c r="D83">
        <f>IF(ISERROR(C83),LEFT(B83&amp;"",1)="#",IF(ISNUMBER(C83),AND(ISNUMBER(B83),ABS(C83-B83)&lt;=0.000001*MAX(1,ABS(B83))),EXACT(C83&amp;"",B83&amp;"")))</f>
      </c>
      <c r="E83">
        <f>ISERROR(C83)</f>
      </c>
    </row>
    <row r="84">
      <c r="A84" t="str">
        <v>L12</v>
      </c>
      <c r="B84">
        <v>0.03</v>
      </c>
      <c r="C84">
        <f>'cokhi'!L12</f>
      </c>
      <c r="D84">
        <f>IF(ISERROR(C84),LEFT(B84&amp;"",1)="#",IF(ISNUMBER(C84),AND(ISNUMBER(B84),ABS(C84-B84)&lt;=0.000001*MAX(1,ABS(B84))),EXACT(C84&amp;"",B84&amp;"")))</f>
      </c>
      <c r="E84">
        <f>ISERROR(C84)</f>
      </c>
    </row>
    <row r="85">
      <c r="A85" t="str">
        <v>L13</v>
      </c>
      <c r="B85">
        <v>0.03</v>
      </c>
      <c r="C85">
        <f>'cokhi'!L13</f>
      </c>
      <c r="D85">
        <f>IF(ISERROR(C85),LEFT(B85&amp;"",1)="#",IF(ISNUMBER(C85),AND(ISNUMBER(B85),ABS(C85-B85)&lt;=0.000001*MAX(1,ABS(B85))),EXACT(C85&amp;"",B85&amp;"")))</f>
      </c>
      <c r="E85">
        <f>ISERROR(C85)</f>
      </c>
    </row>
    <row r="86">
      <c r="A86" t="str">
        <v>M2</v>
      </c>
      <c r="B86" t="str">
        <v>DAT</v>
      </c>
      <c r="C86">
        <f>'cokhi'!M2</f>
      </c>
      <c r="D86">
        <f>IF(ISERROR(C86),LEFT(B86&amp;"",1)="#",IF(ISNUMBER(C86),AND(ISNUMBER(B86),ABS(C86-B86)&lt;=0.000001*MAX(1,ABS(B86))),EXACT(C86&amp;"",B86&amp;"")))</f>
      </c>
      <c r="E86">
        <f>ISERROR(C86)</f>
      </c>
    </row>
    <row r="87">
      <c r="A87" t="str">
        <v>M3</v>
      </c>
      <c r="B87" t="str">
        <v>LOI</v>
      </c>
      <c r="C87">
        <f>'cokhi'!M3</f>
      </c>
      <c r="D87">
        <f>IF(ISERROR(C87),LEFT(B87&amp;"",1)="#",IF(ISNUMBER(C87),AND(ISNUMBER(B87),ABS(C87-B87)&lt;=0.000001*MAX(1,ABS(B87))),EXACT(C87&amp;"",B87&amp;"")))</f>
      </c>
      <c r="E87">
        <f>ISERROR(C87)</f>
      </c>
    </row>
    <row r="88">
      <c r="A88" t="str">
        <v>M4</v>
      </c>
      <c r="B88" t="str">
        <v>DAT</v>
      </c>
      <c r="C88">
        <f>'cokhi'!M4</f>
      </c>
      <c r="D88">
        <f>IF(ISERROR(C88),LEFT(B88&amp;"",1)="#",IF(ISNUMBER(C88),AND(ISNUMBER(B88),ABS(C88-B88)&lt;=0.000001*MAX(1,ABS(B88))),EXACT(C88&amp;"",B88&amp;"")))</f>
      </c>
      <c r="E88">
        <f>ISERROR(C88)</f>
      </c>
    </row>
    <row r="89">
      <c r="A89" t="str">
        <v>M5</v>
      </c>
      <c r="B89" t="str">
        <v>LOI</v>
      </c>
      <c r="C89">
        <f>'cokhi'!M5</f>
      </c>
      <c r="D89">
        <f>IF(ISERROR(C89),LEFT(B89&amp;"",1)="#",IF(ISNUMBER(C89),AND(ISNUMBER(B89),ABS(C89-B89)&lt;=0.000001*MAX(1,ABS(B89))),EXACT(C89&amp;"",B89&amp;"")))</f>
      </c>
      <c r="E89">
        <f>ISERROR(C89)</f>
      </c>
    </row>
    <row r="90">
      <c r="A90" t="str">
        <v>M6</v>
      </c>
      <c r="B90" t="str">
        <v>DAT</v>
      </c>
      <c r="C90">
        <f>'cokhi'!M6</f>
      </c>
      <c r="D90">
        <f>IF(ISERROR(C90),LEFT(B90&amp;"",1)="#",IF(ISNUMBER(C90),AND(ISNUMBER(B90),ABS(C90-B90)&lt;=0.000001*MAX(1,ABS(B90))),EXACT(C90&amp;"",B90&amp;"")))</f>
      </c>
      <c r="E90">
        <f>ISERROR(C90)</f>
      </c>
    </row>
    <row r="91">
      <c r="A91" t="str">
        <v>M7</v>
      </c>
      <c r="B91" t="str">
        <v>DAT</v>
      </c>
      <c r="C91">
        <f>'cokhi'!M7</f>
      </c>
      <c r="D91">
        <f>IF(ISERROR(C91),LEFT(B91&amp;"",1)="#",IF(ISNUMBER(C91),AND(ISNUMBER(B91),ABS(C91-B91)&lt;=0.000001*MAX(1,ABS(B91))),EXACT(C91&amp;"",B91&amp;"")))</f>
      </c>
      <c r="E91">
        <f>ISERROR(C91)</f>
      </c>
    </row>
    <row r="92">
      <c r="A92" t="str">
        <v>M8</v>
      </c>
      <c r="B92" t="str">
        <v>DAT</v>
      </c>
      <c r="C92">
        <f>'cokhi'!M8</f>
      </c>
      <c r="D92">
        <f>IF(ISERROR(C92),LEFT(B92&amp;"",1)="#",IF(ISNUMBER(C92),AND(ISNUMBER(B92),ABS(C92-B92)&lt;=0.000001*MAX(1,ABS(B92))),EXACT(C92&amp;"",B92&amp;"")))</f>
      </c>
      <c r="E92">
        <f>ISERROR(C92)</f>
      </c>
    </row>
    <row r="93">
      <c r="A93" t="str">
        <v>M9</v>
      </c>
      <c r="B93" t="str">
        <v>LOI</v>
      </c>
      <c r="C93">
        <f>'cokhi'!M9</f>
      </c>
      <c r="D93">
        <f>IF(ISERROR(C93),LEFT(B93&amp;"",1)="#",IF(ISNUMBER(C93),AND(ISNUMBER(B93),ABS(C93-B93)&lt;=0.000001*MAX(1,ABS(B93))),EXACT(C93&amp;"",B93&amp;"")))</f>
      </c>
      <c r="E93">
        <f>ISERROR(C93)</f>
      </c>
    </row>
    <row r="94">
      <c r="A94" t="str">
        <v>M10</v>
      </c>
      <c r="B94" t="str">
        <v>LOI</v>
      </c>
      <c r="C94">
        <f>'cokhi'!M10</f>
      </c>
      <c r="D94">
        <f>IF(ISERROR(C94),LEFT(B94&amp;"",1)="#",IF(ISNUMBER(C94),AND(ISNUMBER(B94),ABS(C94-B94)&lt;=0.000001*MAX(1,ABS(B94))),EXACT(C94&amp;"",B94&amp;"")))</f>
      </c>
      <c r="E94">
        <f>ISERROR(C94)</f>
      </c>
    </row>
    <row r="95">
      <c r="A95" t="str">
        <v>M11</v>
      </c>
      <c r="B95" t="str">
        <v>DAT</v>
      </c>
      <c r="C95">
        <f>'cokhi'!M11</f>
      </c>
      <c r="D95">
        <f>IF(ISERROR(C95),LEFT(B95&amp;"",1)="#",IF(ISNUMBER(C95),AND(ISNUMBER(B95),ABS(C95-B95)&lt;=0.000001*MAX(1,ABS(B95))),EXACT(C95&amp;"",B95&amp;"")))</f>
      </c>
      <c r="E95">
        <f>ISERROR(C95)</f>
      </c>
    </row>
    <row r="96">
      <c r="A96" t="str">
        <v>M12</v>
      </c>
      <c r="B96" t="str">
        <v>DAT</v>
      </c>
      <c r="C96">
        <f>'cokhi'!M12</f>
      </c>
      <c r="D96">
        <f>IF(ISERROR(C96),LEFT(B96&amp;"",1)="#",IF(ISNUMBER(C96),AND(ISNUMBER(B96),ABS(C96-B96)&lt;=0.000001*MAX(1,ABS(B96))),EXACT(C96&amp;"",B96&amp;"")))</f>
      </c>
      <c r="E96">
        <f>ISERROR(C96)</f>
      </c>
    </row>
    <row r="97">
      <c r="A97" t="str">
        <v>M13</v>
      </c>
      <c r="B97" t="str">
        <v>DAT</v>
      </c>
      <c r="C97">
        <f>'cokhi'!M13</f>
      </c>
      <c r="D97">
        <f>IF(ISERROR(C97),LEFT(B97&amp;"",1)="#",IF(ISNUMBER(C97),AND(ISNUMBER(B97),ABS(C97-B97)&lt;=0.000001*MAX(1,ABS(B97))),EXACT(C97&amp;"",B97&amp;"")))</f>
      </c>
      <c r="E97">
        <f>ISERROR(C97)</f>
      </c>
    </row>
    <row r="98">
      <c r="A98" t="str">
        <v>Z2</v>
      </c>
      <c r="B98" t="str">
        <v>INOX-008</v>
      </c>
      <c r="C98">
        <f>'cokhi'!Z2</f>
      </c>
      <c r="D98">
        <f>IF(ISERROR(C98),LEFT(B98&amp;"",1)="#",IF(ISNUMBER(C98),AND(ISNUMBER(B98),ABS(C98-B98)&lt;=0.000001*MAX(1,ABS(B98))),EXACT(C98&amp;"",B98&amp;"")))</f>
      </c>
      <c r="E98">
        <f>ISERROR(C98)</f>
      </c>
    </row>
    <row r="99">
      <c r="A99" t="str">
        <v>Z3</v>
      </c>
      <c r="B99">
        <v>25.259999999999998</v>
      </c>
      <c r="C99">
        <f>'cokhi'!Z3</f>
      </c>
      <c r="D99">
        <f>IF(ISERROR(C99),LEFT(B99&amp;"",1)="#",IF(ISNUMBER(C99),AND(ISNUMBER(B99),ABS(C99-B99)&lt;=0.000001*MAX(1,ABS(B99))),EXACT(C99&amp;"",B99&amp;"")))</f>
      </c>
      <c r="E99">
        <f>ISERROR(C99)</f>
      </c>
    </row>
    <row r="100">
      <c r="A100" t="str">
        <v>Z4</v>
      </c>
      <c r="B100">
        <v>1</v>
      </c>
      <c r="C100">
        <f>'cokhi'!Z4</f>
      </c>
      <c r="D100">
        <f>IF(ISERROR(C100),LEFT(B100&amp;"",1)="#",IF(ISNUMBER(C100),AND(ISNUMBER(B100),ABS(C100-B100)&lt;=0.000001*MAX(1,ABS(B100))),EXACT(C100&amp;"",B100&amp;"")))</f>
      </c>
      <c r="E100">
        <f>ISERROR(C100)</f>
      </c>
    </row>
    <row r="101">
      <c r="A101" t="str">
        <v>Z5</v>
      </c>
      <c r="B101">
        <v>0.274</v>
      </c>
      <c r="C101">
        <f>'cokhi'!Z5</f>
      </c>
      <c r="D101">
        <f>IF(ISERROR(C101),LEFT(B101&amp;"",1)="#",IF(ISNUMBER(C101),AND(ISNUMBER(B101),ABS(C101-B101)&lt;=0.000001*MAX(1,ABS(B101))),EXACT(C101&amp;"",B101&amp;"")))</f>
      </c>
      <c r="E101">
        <f>ISERROR(C101)</f>
      </c>
    </row>
    <row r="102">
      <c r="A102" t="str">
        <v>Z6</v>
      </c>
      <c r="B102">
        <v>186.53</v>
      </c>
      <c r="C102">
        <f>'cokhi'!Z6</f>
      </c>
      <c r="D102">
        <f>IF(ISERROR(C102),LEFT(B102&amp;"",1)="#",IF(ISNUMBER(C102),AND(ISNUMBER(B102),ABS(C102-B102)&lt;=0.000001*MAX(1,ABS(B102))),EXACT(C102&amp;"",B102&amp;"")))</f>
      </c>
      <c r="E102">
        <f>ISERROR(C102)</f>
      </c>
    </row>
    <row r="103">
      <c r="A103" t="str">
        <v>Z7</v>
      </c>
      <c r="B103">
        <v>0.3025</v>
      </c>
      <c r="C103">
        <f>'cokhi'!Z7</f>
      </c>
      <c r="D103">
        <f>IF(ISERROR(C103),LEFT(B103&amp;"",1)="#",IF(ISNUMBER(C103),AND(ISNUMBER(B103),ABS(C103-B103)&lt;=0.000001*MAX(1,ABS(B103))),EXACT(C103&amp;"",B103&amp;"")))</f>
      </c>
      <c r="E103">
        <f>ISERROR(C103)</f>
      </c>
    </row>
    <row r="104">
      <c r="A104" t="str">
        <v>Z8</v>
      </c>
      <c r="B104">
        <v>21.94</v>
      </c>
      <c r="C104">
        <f>'cokhi'!Z8</f>
      </c>
      <c r="D104">
        <f>IF(ISERROR(C104),LEFT(B104&amp;"",1)="#",IF(ISNUMBER(C104),AND(ISNUMBER(B104),ABS(C104-B104)&lt;=0.000001*MAX(1,ABS(B104))),EXACT(C104&amp;"",B104&amp;"")))</f>
      </c>
      <c r="E104">
        <f>ISERROR(C104)</f>
      </c>
    </row>
    <row r="105">
      <c r="A105" t="str">
        <v>Z9</v>
      </c>
      <c r="B105">
        <v>0.018</v>
      </c>
      <c r="C105">
        <f>'cokhi'!Z9</f>
      </c>
      <c r="D105">
        <f>IF(ISERROR(C105),LEFT(B105&amp;"",1)="#",IF(ISNUMBER(C105),AND(ISNUMBER(B105),ABS(C105-B105)&lt;=0.000001*MAX(1,ABS(B105))),EXACT(C105&amp;"",B105&amp;"")))</f>
      </c>
      <c r="E105">
        <f>ISERROR(C105)</f>
      </c>
    </row>
    <row r="106">
      <c r="A106" t="str">
        <v>Z10</v>
      </c>
      <c r="B106">
        <v>25.259999999999998</v>
      </c>
      <c r="C106">
        <f>'cokhi'!Z10</f>
      </c>
      <c r="D106">
        <f>IF(ISERROR(C106),LEFT(B106&amp;"",1)="#",IF(ISNUMBER(C106),AND(ISNUMBER(B106),ABS(C106-B106)&lt;=0.000001*MAX(1,ABS(B106))),EXACT(C106&amp;"",B106&amp;"")))</f>
      </c>
      <c r="E106">
        <f>ISERROR(C106)</f>
      </c>
    </row>
    <row r="107">
      <c r="A107" t="str">
        <v>Z11</v>
      </c>
      <c r="B107">
        <v>4</v>
      </c>
      <c r="C107">
        <f>'cokhi'!Z11</f>
      </c>
      <c r="D107">
        <f>IF(ISERROR(C107),LEFT(B107&amp;"",1)="#",IF(ISNUMBER(C107),AND(ISNUMBER(B107),ABS(C107-B107)&lt;=0.000001*MAX(1,ABS(B107))),EXACT(C107&amp;"",B107&amp;"")))</f>
      </c>
      <c r="E107">
        <f>ISERROR(C107)</f>
      </c>
    </row>
    <row r="108">
      <c r="A108" t="str">
        <v>Z12</v>
      </c>
      <c r="B108">
        <v>145</v>
      </c>
      <c r="C108">
        <f>'cokhi'!Z12</f>
      </c>
      <c r="D108">
        <f>IF(ISERROR(C108),LEFT(B108&amp;"",1)="#",IF(ISNUMBER(C108),AND(ISNUMBER(B108),ABS(C108-B108)&lt;=0.000001*MAX(1,ABS(B108))),EXACT(C108&amp;"",B108&amp;"")))</f>
      </c>
      <c r="E108">
        <f>ISERROR(C108)</f>
      </c>
    </row>
    <row r="109">
      <c r="A109" t="str">
        <v>Z13</v>
      </c>
      <c r="B109">
        <v>145.784</v>
      </c>
      <c r="C109">
        <f>'cokhi'!Z13</f>
      </c>
      <c r="D109">
        <f>IF(ISERROR(C109),LEFT(B109&amp;"",1)="#",IF(ISNUMBER(C109),AND(ISNUMBER(B109),ABS(C109-B109)&lt;=0.000001*MAX(1,ABS(B109))),EXACT(C109&amp;"",B109&amp;"")))</f>
      </c>
      <c r="E109">
        <f>ISERROR(C109)</f>
      </c>
    </row>
  </sheetData>
  <ignoredErrors>
    <ignoredError numberStoredAsText="1" sqref="A1:E109"/>
  </ignoredErrors>
</worksheet>
</file>

<file path=xl/worksheets/sheet7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MaMach</v>
      </c>
      <c r="B1" t="str">
        <v>R1</v>
      </c>
      <c r="C1" t="str">
        <v>R2</v>
      </c>
      <c r="D1" t="str">
        <v>U</v>
      </c>
      <c r="E1" t="str">
        <v>LmH</v>
      </c>
      <c r="F1" t="str">
        <v>CuF</v>
      </c>
      <c r="G1" t="str">
        <v>KieuNoi</v>
      </c>
      <c r="H1" t="str">
        <v>STT</v>
      </c>
      <c r="I1" t="str">
        <v>MoTa</v>
      </c>
      <c r="J1" t="str">
        <v>Rtd</v>
      </c>
      <c r="K1" t="str">
        <v>I_mA</v>
      </c>
      <c r="L1" t="str">
        <v>P</v>
      </c>
      <c r="M1" t="str">
        <v>f0</v>
      </c>
      <c r="N1" t="str">
        <v>AnToan</v>
      </c>
      <c r="R1" t="str">
        <v>KieuNoi</v>
      </c>
      <c r="S1" t="str">
        <v>MoTa</v>
      </c>
      <c r="T1" t="str">
        <v>Pmax</v>
      </c>
      <c r="U1">
        <v>0.5</v>
      </c>
      <c r="W1" t="str">
        <v>KieuNoi</v>
      </c>
      <c r="Y1" t="str">
        <v>TongHop</v>
      </c>
      <c r="Z1" t="str">
        <v>KetQua</v>
      </c>
    </row>
    <row r="2">
      <c r="A2" t="str">
        <v>NT01</v>
      </c>
      <c r="B2">
        <v>700</v>
      </c>
      <c r="C2">
        <v>480</v>
      </c>
      <c r="D2">
        <v>9</v>
      </c>
      <c r="E2">
        <v>1</v>
      </c>
      <c r="F2">
        <v>1</v>
      </c>
      <c r="G2" t="str">
        <f>LEFT(A2,2)</f>
        <v>NT</v>
      </c>
      <c r="H2">
        <f>VALUE(RIGHT(A2,2))</f>
        <v>1</v>
      </c>
      <c r="I2" t="str">
        <f>VLOOKUP(G2,$R$2:$S$3,2,FALSE)</f>
        <v>Noi tiep</v>
      </c>
      <c r="J2">
        <f>IF(G2="NT",B2+C2,ROUND(B2*C2/(B2+C2),2))</f>
        <v>1180</v>
      </c>
      <c r="K2">
        <f>ROUND(D2/J2*1000,2)</f>
        <v>7.63</v>
      </c>
      <c r="L2">
        <f>ROUND(POWER(D2,2)/J2,3)</f>
        <v>0.069</v>
      </c>
      <c r="M2">
        <f>ROUND(1/(2*PI()*SQRT(E2/1000*F2/1000000)),1)</f>
        <v>5032.9</v>
      </c>
      <c r="N2" t="str">
        <f>IF(L2&lt;=$U$1,"AN TOAN","QUA TAI")</f>
        <v>AN TOAN</v>
      </c>
      <c r="R2" t="str">
        <v>NT</v>
      </c>
      <c r="S2" t="str">
        <v>Noi tiep</v>
      </c>
      <c r="W2" t="str">
        <v>SS</v>
      </c>
      <c r="Y2" t="str">
        <v>Ma mach co P lon nhat</v>
      </c>
      <c r="Z2" t="str">
        <f>INDEX(A2:A13,MATCH(MAX(L2:L13),L2:L13,0))</f>
        <v>SS02</v>
      </c>
    </row>
    <row r="3">
      <c r="A3" t="str">
        <v>SS02</v>
      </c>
      <c r="B3">
        <v>890</v>
      </c>
      <c r="C3">
        <v>100</v>
      </c>
      <c r="D3">
        <v>24</v>
      </c>
      <c r="E3">
        <v>2</v>
      </c>
      <c r="F3">
        <v>4.7</v>
      </c>
      <c r="G3" t="str">
        <f>LEFT(A3,2)</f>
        <v>SS</v>
      </c>
      <c r="H3">
        <f>VALUE(RIGHT(A3,2))</f>
        <v>2</v>
      </c>
      <c r="I3" t="str">
        <f>VLOOKUP(G3,$R$2:$S$3,2,FALSE)</f>
        <v>Song song</v>
      </c>
      <c r="J3">
        <f>IF(G3="NT",B3+C3,ROUND(B3*C3/(B3+C3),2))</f>
        <v>89.9</v>
      </c>
      <c r="K3">
        <f>ROUND(D3/J3*1000,2)</f>
        <v>266.96</v>
      </c>
      <c r="L3">
        <f>ROUND(POWER(D3,2)/J3,3)</f>
        <v>6.407</v>
      </c>
      <c r="M3">
        <f>ROUND(1/(2*PI()*SQRT(E3/1000*F3/1000000)),1)</f>
        <v>1641.6</v>
      </c>
      <c r="N3" t="str">
        <f>IF(L3&lt;=$U$1,"AN TOAN","QUA TAI")</f>
        <v>QUA TAI</v>
      </c>
      <c r="R3" t="str">
        <v>SS</v>
      </c>
      <c r="S3" t="str">
        <v>Song song</v>
      </c>
      <c r="Y3" t="str">
        <v>Tong P mach song song</v>
      </c>
      <c r="Z3">
        <f>SUMIF(G2:G13,"SS",L2:L13)</f>
        <v>11.642</v>
      </c>
    </row>
    <row r="4">
      <c r="A4" t="str">
        <v>SS03</v>
      </c>
      <c r="B4">
        <v>370</v>
      </c>
      <c r="C4">
        <v>410</v>
      </c>
      <c r="D4">
        <v>24</v>
      </c>
      <c r="E4">
        <v>10</v>
      </c>
      <c r="F4">
        <v>10</v>
      </c>
      <c r="G4" t="str">
        <f>LEFT(A4,2)</f>
        <v>SS</v>
      </c>
      <c r="H4">
        <f>VALUE(RIGHT(A4,2))</f>
        <v>3</v>
      </c>
      <c r="I4" t="str">
        <f>VLOOKUP(G4,$R$2:$S$3,2,FALSE)</f>
        <v>Song song</v>
      </c>
      <c r="J4">
        <f>IF(G4="NT",B4+C4,ROUND(B4*C4/(B4+C4),2))</f>
        <v>194.49</v>
      </c>
      <c r="K4">
        <f>ROUND(D4/J4*1000,2)</f>
        <v>123.4</v>
      </c>
      <c r="L4">
        <f>ROUND(POWER(D4,2)/J4,3)</f>
        <v>2.962</v>
      </c>
      <c r="M4">
        <f>ROUND(1/(2*PI()*SQRT(E4/1000*F4/1000000)),1)</f>
        <v>503.3</v>
      </c>
      <c r="N4" t="str">
        <f>IF(L4&lt;=$U$1,"AN TOAN","QUA TAI")</f>
        <v>QUA TAI</v>
      </c>
      <c r="Y4" t="str">
        <v>So mach NT AN TOAN</v>
      </c>
      <c r="Z4">
        <f>COUNTIFS(G2:G13,"NT",N2:N13,"AN TOAN")</f>
        <v>8</v>
      </c>
    </row>
    <row r="5">
      <c r="A5" t="str">
        <v>NT04</v>
      </c>
      <c r="B5">
        <v>810</v>
      </c>
      <c r="C5">
        <v>870</v>
      </c>
      <c r="D5">
        <v>5</v>
      </c>
      <c r="E5">
        <v>22</v>
      </c>
      <c r="F5">
        <v>10</v>
      </c>
      <c r="G5" t="str">
        <f>LEFT(A5,2)</f>
        <v>NT</v>
      </c>
      <c r="H5">
        <f>VALUE(RIGHT(A5,2))</f>
        <v>4</v>
      </c>
      <c r="I5" t="str">
        <f>VLOOKUP(G5,$R$2:$S$3,2,FALSE)</f>
        <v>Noi tiep</v>
      </c>
      <c r="J5">
        <f>IF(G5="NT",B5+C5,ROUND(B5*C5/(B5+C5),2))</f>
        <v>1680</v>
      </c>
      <c r="K5">
        <f>ROUND(D5/J5*1000,2)</f>
        <v>2.98</v>
      </c>
      <c r="L5">
        <f>ROUND(POWER(D5,2)/J5,3)</f>
        <v>0.015</v>
      </c>
      <c r="M5">
        <f>ROUND(1/(2*PI()*SQRT(E5/1000*F5/1000000)),1)</f>
        <v>339.3</v>
      </c>
      <c r="N5" t="str">
        <f>IF(L5&lt;=$U$1,"AN TOAN","QUA TAI")</f>
        <v>AN TOAN</v>
      </c>
      <c r="Y5" t="str">
        <v>I_mA TB mach song song</v>
      </c>
      <c r="Z5">
        <f>AVERAGEIF(G2:G13,"SS",K2:K13)</f>
        <v>133.1825</v>
      </c>
    </row>
    <row r="6">
      <c r="A6" t="str">
        <v>NT05</v>
      </c>
      <c r="B6">
        <v>530</v>
      </c>
      <c r="C6">
        <v>380</v>
      </c>
      <c r="D6">
        <v>12</v>
      </c>
      <c r="E6">
        <v>1</v>
      </c>
      <c r="F6">
        <v>1</v>
      </c>
      <c r="G6" t="str">
        <f>LEFT(A6,2)</f>
        <v>NT</v>
      </c>
      <c r="H6">
        <f>VALUE(RIGHT(A6,2))</f>
        <v>5</v>
      </c>
      <c r="I6" t="str">
        <f>VLOOKUP(G6,$R$2:$S$3,2,FALSE)</f>
        <v>Noi tiep</v>
      </c>
      <c r="J6">
        <f>IF(G6="NT",B6+C6,ROUND(B6*C6/(B6+C6),2))</f>
        <v>910</v>
      </c>
      <c r="K6">
        <f>ROUND(D6/J6*1000,2)</f>
        <v>13.19</v>
      </c>
      <c r="L6">
        <f>ROUND(POWER(D6,2)/J6,3)</f>
        <v>0.158</v>
      </c>
      <c r="M6">
        <f>ROUND(1/(2*PI()*SQRT(E6/1000*F6/1000000)),1)</f>
        <v>5032.9</v>
      </c>
      <c r="N6" t="str">
        <f>IF(L6&lt;=$U$1,"AN TOAN","QUA TAI")</f>
        <v>AN TOAN</v>
      </c>
      <c r="Y6" t="str">
        <v>f0 lon nhat mach NT</v>
      </c>
      <c r="Z6">
        <f>_xlfn.MAXIFS(M2:M13,G2:G13,"NT")</f>
        <v>5032.9</v>
      </c>
    </row>
    <row r="7">
      <c r="A7" t="str">
        <v>NT06</v>
      </c>
      <c r="B7">
        <v>880</v>
      </c>
      <c r="C7">
        <v>990</v>
      </c>
      <c r="D7">
        <v>12</v>
      </c>
      <c r="E7">
        <v>22</v>
      </c>
      <c r="F7">
        <v>10</v>
      </c>
      <c r="G7" t="str">
        <f>LEFT(A7,2)</f>
        <v>NT</v>
      </c>
      <c r="H7">
        <f>VALUE(RIGHT(A7,2))</f>
        <v>6</v>
      </c>
      <c r="I7" t="str">
        <f>VLOOKUP(G7,$R$2:$S$3,2,FALSE)</f>
        <v>Noi tiep</v>
      </c>
      <c r="J7">
        <f>IF(G7="NT",B7+C7,ROUND(B7*C7/(B7+C7),2))</f>
        <v>1870</v>
      </c>
      <c r="K7">
        <f>ROUND(D7/J7*1000,2)</f>
        <v>6.42</v>
      </c>
      <c r="L7">
        <f>ROUND(POWER(D7,2)/J7,3)</f>
        <v>0.077</v>
      </c>
      <c r="M7">
        <f>ROUND(1/(2*PI()*SQRT(E7/1000*F7/1000000)),1)</f>
        <v>339.3</v>
      </c>
      <c r="N7" t="str">
        <f>IF(L7&lt;=$U$1,"AN TOAN","QUA TAI")</f>
        <v>AN TOAN</v>
      </c>
      <c r="Y7" t="str">
        <v>P trung vi</v>
      </c>
      <c r="Z7">
        <f>MEDIAN(L2:L13)</f>
        <v>0.1315</v>
      </c>
    </row>
    <row r="8">
      <c r="A8" t="str">
        <v>SS07</v>
      </c>
      <c r="B8">
        <v>800</v>
      </c>
      <c r="C8">
        <v>460</v>
      </c>
      <c r="D8">
        <v>24</v>
      </c>
      <c r="E8">
        <v>2</v>
      </c>
      <c r="F8">
        <v>2.2</v>
      </c>
      <c r="G8" t="str">
        <f>LEFT(A8,2)</f>
        <v>SS</v>
      </c>
      <c r="H8">
        <f>VALUE(RIGHT(A8,2))</f>
        <v>7</v>
      </c>
      <c r="I8" t="str">
        <f>VLOOKUP(G8,$R$2:$S$3,2,FALSE)</f>
        <v>Song song</v>
      </c>
      <c r="J8">
        <f>IF(G8="NT",B8+C8,ROUND(B8*C8/(B8+C8),2))</f>
        <v>292.06</v>
      </c>
      <c r="K8">
        <f>ROUND(D8/J8*1000,2)</f>
        <v>82.17</v>
      </c>
      <c r="L8">
        <f>ROUND(POWER(D8,2)/J8,3)</f>
        <v>1.972</v>
      </c>
      <c r="M8">
        <f>ROUND(1/(2*PI()*SQRT(E8/1000*F8/1000000)),1)</f>
        <v>2399.4</v>
      </c>
      <c r="N8" t="str">
        <f>IF(L8&lt;=$U$1,"AN TOAN","QUA TAI")</f>
        <v>QUA TAI</v>
      </c>
      <c r="Y8" t="str">
        <v>I_mA lon thu hai</v>
      </c>
      <c r="Z8">
        <f>LARGE(K2:K13,2)</f>
        <v>123.4</v>
      </c>
    </row>
    <row r="9">
      <c r="A9" t="str">
        <v>NT08</v>
      </c>
      <c r="B9">
        <v>150</v>
      </c>
      <c r="C9">
        <v>650</v>
      </c>
      <c r="D9">
        <v>5</v>
      </c>
      <c r="E9">
        <v>22</v>
      </c>
      <c r="F9">
        <v>2.2</v>
      </c>
      <c r="G9" t="str">
        <f>LEFT(A9,2)</f>
        <v>NT</v>
      </c>
      <c r="H9">
        <f>VALUE(RIGHT(A9,2))</f>
        <v>8</v>
      </c>
      <c r="I9" t="str">
        <f>VLOOKUP(G9,$R$2:$S$3,2,FALSE)</f>
        <v>Noi tiep</v>
      </c>
      <c r="J9">
        <f>IF(G9="NT",B9+C9,ROUND(B9*C9/(B9+C9),2))</f>
        <v>800</v>
      </c>
      <c r="K9">
        <f>ROUND(D9/J9*1000,2)</f>
        <v>6.25</v>
      </c>
      <c r="L9">
        <f>ROUND(POWER(D9,2)/J9,3)</f>
        <v>0.031</v>
      </c>
      <c r="M9">
        <f>ROUND(1/(2*PI()*SQRT(E9/1000*F9/1000000)),1)</f>
        <v>723.4</v>
      </c>
      <c r="N9" t="str">
        <f>IF(L9&lt;=$U$1,"AN TOAN","QUA TAI")</f>
        <v>AN TOAN</v>
      </c>
      <c r="Y9" t="str">
        <v>Do lech chuan Rtd</v>
      </c>
      <c r="Z9">
        <f>ROUND(STDEV(J2:J13),2)</f>
        <v>611.88</v>
      </c>
    </row>
    <row r="10">
      <c r="A10" t="str">
        <v>NT09</v>
      </c>
      <c r="B10">
        <v>410</v>
      </c>
      <c r="C10">
        <v>210</v>
      </c>
      <c r="D10">
        <v>12</v>
      </c>
      <c r="E10">
        <v>10</v>
      </c>
      <c r="F10">
        <v>4.7</v>
      </c>
      <c r="G10" t="str">
        <f>LEFT(A10,2)</f>
        <v>NT</v>
      </c>
      <c r="H10">
        <f>VALUE(RIGHT(A10,2))</f>
        <v>9</v>
      </c>
      <c r="I10" t="str">
        <f>VLOOKUP(G10,$R$2:$S$3,2,FALSE)</f>
        <v>Noi tiep</v>
      </c>
      <c r="J10">
        <f>IF(G10="NT",B10+C10,ROUND(B10*C10/(B10+C10),2))</f>
        <v>620</v>
      </c>
      <c r="K10">
        <f>ROUND(D10/J10*1000,2)</f>
        <v>19.35</v>
      </c>
      <c r="L10">
        <f>ROUND(POWER(D10,2)/J10,3)</f>
        <v>0.232</v>
      </c>
      <c r="M10">
        <f>ROUND(1/(2*PI()*SQRT(E10/1000*F10/1000000)),1)</f>
        <v>734.1</v>
      </c>
      <c r="N10" t="str">
        <f>IF(L10&lt;=$U$1,"AN TOAN","QUA TAI")</f>
        <v>AN TOAN</v>
      </c>
      <c r="Y10" t="str">
        <v>Tong P theo tieu chi W1:W2</v>
      </c>
      <c r="Z10">
        <f>DSUM(A1:N13,"P",W1:W2)</f>
        <v>11.642</v>
      </c>
    </row>
    <row r="11">
      <c r="A11" t="str">
        <v>NT10</v>
      </c>
      <c r="B11">
        <v>860</v>
      </c>
      <c r="C11">
        <v>510</v>
      </c>
      <c r="D11">
        <v>12</v>
      </c>
      <c r="E11">
        <v>2</v>
      </c>
      <c r="F11">
        <v>1</v>
      </c>
      <c r="G11" t="str">
        <f>LEFT(A11,2)</f>
        <v>NT</v>
      </c>
      <c r="H11">
        <f>VALUE(RIGHT(A11,2))</f>
        <v>10</v>
      </c>
      <c r="I11" t="str">
        <f>VLOOKUP(G11,$R$2:$S$3,2,FALSE)</f>
        <v>Noi tiep</v>
      </c>
      <c r="J11">
        <f>IF(G11="NT",B11+C11,ROUND(B11*C11/(B11+C11),2))</f>
        <v>1370</v>
      </c>
      <c r="K11">
        <f>ROUND(D11/J11*1000,2)</f>
        <v>8.76</v>
      </c>
      <c r="L11">
        <f>ROUND(POWER(D11,2)/J11,3)</f>
        <v>0.105</v>
      </c>
      <c r="M11">
        <f>ROUND(1/(2*PI()*SQRT(E11/1000*F11/1000000)),1)</f>
        <v>3558.8</v>
      </c>
      <c r="N11" t="str">
        <f>IF(L11&lt;=$U$1,"AN TOAN","QUA TAI")</f>
        <v>AN TOAN</v>
      </c>
      <c r="Y11" t="str">
        <v>So mach theo tieu chi W1:W2</v>
      </c>
      <c r="Z11">
        <f>DCOUNT(A1:N13,"P",W1:W2)</f>
        <v>4</v>
      </c>
    </row>
    <row r="12">
      <c r="A12" t="str">
        <v>NT11</v>
      </c>
      <c r="B12">
        <v>840</v>
      </c>
      <c r="C12">
        <v>220</v>
      </c>
      <c r="D12">
        <v>9</v>
      </c>
      <c r="E12">
        <v>10</v>
      </c>
      <c r="F12">
        <v>10</v>
      </c>
      <c r="G12" t="str">
        <f>LEFT(A12,2)</f>
        <v>NT</v>
      </c>
      <c r="H12">
        <f>VALUE(RIGHT(A12,2))</f>
        <v>11</v>
      </c>
      <c r="I12" t="str">
        <f>VLOOKUP(G12,$R$2:$S$3,2,FALSE)</f>
        <v>Noi tiep</v>
      </c>
      <c r="J12">
        <f>IF(G12="NT",B12+C12,ROUND(B12*C12/(B12+C12),2))</f>
        <v>1060</v>
      </c>
      <c r="K12">
        <f>ROUND(D12/J12*1000,2)</f>
        <v>8.49</v>
      </c>
      <c r="L12">
        <f>ROUND(POWER(D12,2)/J12,3)</f>
        <v>0.076</v>
      </c>
      <c r="M12">
        <f>ROUND(1/(2*PI()*SQRT(E12/1000*F12/1000000)),1)</f>
        <v>503.3</v>
      </c>
      <c r="N12" t="str">
        <f>IF(L12&lt;=$U$1,"AN TOAN","QUA TAI")</f>
        <v>AN TOAN</v>
      </c>
      <c r="Y12" t="str">
        <v>Tong P mach QUA TAI</v>
      </c>
      <c r="Z12">
        <f>SUMPRODUCT((N2:N13="QUA TAI")*L2:L13)</f>
        <v>11.341</v>
      </c>
    </row>
    <row r="13">
      <c r="A13" t="str">
        <v>SS12</v>
      </c>
      <c r="B13">
        <v>130</v>
      </c>
      <c r="C13">
        <v>230</v>
      </c>
      <c r="D13">
        <v>5</v>
      </c>
      <c r="E13">
        <v>22</v>
      </c>
      <c r="F13">
        <v>1</v>
      </c>
      <c r="G13" t="str">
        <f>LEFT(A13,2)</f>
        <v>SS</v>
      </c>
      <c r="H13">
        <f>VALUE(RIGHT(A13,2))</f>
        <v>12</v>
      </c>
      <c r="I13" t="str">
        <f>VLOOKUP(G13,$R$2:$S$3,2,FALSE)</f>
        <v>Song song</v>
      </c>
      <c r="J13">
        <f>IF(G13="NT",B13+C13,ROUND(B13*C13/(B13+C13),2))</f>
        <v>83.06</v>
      </c>
      <c r="K13">
        <f>ROUND(D13/J13*1000,2)</f>
        <v>60.2</v>
      </c>
      <c r="L13">
        <f>ROUND(POWER(D13,2)/J13,3)</f>
        <v>0.301</v>
      </c>
      <c r="M13">
        <f>ROUND(1/(2*PI()*SQRT(E13/1000*F13/1000000)),1)</f>
        <v>1073</v>
      </c>
      <c r="N13" t="str">
        <f>IF(L13&lt;=$U$1,"AN TOAN","QUA TAI")</f>
        <v>AN TOAN</v>
      </c>
      <c r="Y13" t="str">
        <v>So mach NT co Rtd &gt; 400</v>
      </c>
      <c r="Z13">
        <f>SUMPRODUCT((G2:G13="NT")*(J2:J13&gt;400))</f>
        <v>8</v>
      </c>
    </row>
  </sheetData>
  <ignoredErrors>
    <ignoredError numberStoredAsText="1" sqref="A1:Z13"/>
  </ignoredErrors>
</worksheet>
</file>

<file path=xl/worksheets/sheet73.xml><?xml version="1.0" encoding="utf-8"?>
<worksheet xmlns="http://schemas.openxmlformats.org/spreadsheetml/2006/main" xmlns:r="http://schemas.openxmlformats.org/officeDocument/2006/relationships">
  <dimension ref="A1:E109"/>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t="str">
        <v>NT</v>
      </c>
      <c r="C2">
        <f>'dientu'!G2</f>
      </c>
      <c r="D2">
        <f>IF(ISERROR(C2),LEFT(B2&amp;"",1)="#",IF(ISNUMBER(C2),AND(ISNUMBER(B2),ABS(C2-B2)&lt;=0.000001*MAX(1,ABS(B2))),EXACT(C2&amp;"",B2&amp;"")))</f>
      </c>
      <c r="E2">
        <f>ISERROR(C2)</f>
      </c>
    </row>
    <row r="3">
      <c r="A3" t="str">
        <v>G3</v>
      </c>
      <c r="B3" t="str">
        <v>SS</v>
      </c>
      <c r="C3">
        <f>'dientu'!G3</f>
      </c>
      <c r="D3">
        <f>IF(ISERROR(C3),LEFT(B3&amp;"",1)="#",IF(ISNUMBER(C3),AND(ISNUMBER(B3),ABS(C3-B3)&lt;=0.000001*MAX(1,ABS(B3))),EXACT(C3&amp;"",B3&amp;"")))</f>
      </c>
      <c r="E3">
        <f>ISERROR(C3)</f>
      </c>
    </row>
    <row r="4">
      <c r="A4" t="str">
        <v>G4</v>
      </c>
      <c r="B4" t="str">
        <v>SS</v>
      </c>
      <c r="C4">
        <f>'dientu'!G4</f>
      </c>
      <c r="D4">
        <f>IF(ISERROR(C4),LEFT(B4&amp;"",1)="#",IF(ISNUMBER(C4),AND(ISNUMBER(B4),ABS(C4-B4)&lt;=0.000001*MAX(1,ABS(B4))),EXACT(C4&amp;"",B4&amp;"")))</f>
      </c>
      <c r="E4">
        <f>ISERROR(C4)</f>
      </c>
    </row>
    <row r="5">
      <c r="A5" t="str">
        <v>G5</v>
      </c>
      <c r="B5" t="str">
        <v>NT</v>
      </c>
      <c r="C5">
        <f>'dientu'!G5</f>
      </c>
      <c r="D5">
        <f>IF(ISERROR(C5),LEFT(B5&amp;"",1)="#",IF(ISNUMBER(C5),AND(ISNUMBER(B5),ABS(C5-B5)&lt;=0.000001*MAX(1,ABS(B5))),EXACT(C5&amp;"",B5&amp;"")))</f>
      </c>
      <c r="E5">
        <f>ISERROR(C5)</f>
      </c>
    </row>
    <row r="6">
      <c r="A6" t="str">
        <v>G6</v>
      </c>
      <c r="B6" t="str">
        <v>NT</v>
      </c>
      <c r="C6">
        <f>'dientu'!G6</f>
      </c>
      <c r="D6">
        <f>IF(ISERROR(C6),LEFT(B6&amp;"",1)="#",IF(ISNUMBER(C6),AND(ISNUMBER(B6),ABS(C6-B6)&lt;=0.000001*MAX(1,ABS(B6))),EXACT(C6&amp;"",B6&amp;"")))</f>
      </c>
      <c r="E6">
        <f>ISERROR(C6)</f>
      </c>
    </row>
    <row r="7">
      <c r="A7" t="str">
        <v>G7</v>
      </c>
      <c r="B7" t="str">
        <v>NT</v>
      </c>
      <c r="C7">
        <f>'dientu'!G7</f>
      </c>
      <c r="D7">
        <f>IF(ISERROR(C7),LEFT(B7&amp;"",1)="#",IF(ISNUMBER(C7),AND(ISNUMBER(B7),ABS(C7-B7)&lt;=0.000001*MAX(1,ABS(B7))),EXACT(C7&amp;"",B7&amp;"")))</f>
      </c>
      <c r="E7">
        <f>ISERROR(C7)</f>
      </c>
    </row>
    <row r="8">
      <c r="A8" t="str">
        <v>G8</v>
      </c>
      <c r="B8" t="str">
        <v>SS</v>
      </c>
      <c r="C8">
        <f>'dientu'!G8</f>
      </c>
      <c r="D8">
        <f>IF(ISERROR(C8),LEFT(B8&amp;"",1)="#",IF(ISNUMBER(C8),AND(ISNUMBER(B8),ABS(C8-B8)&lt;=0.000001*MAX(1,ABS(B8))),EXACT(C8&amp;"",B8&amp;"")))</f>
      </c>
      <c r="E8">
        <f>ISERROR(C8)</f>
      </c>
    </row>
    <row r="9">
      <c r="A9" t="str">
        <v>G9</v>
      </c>
      <c r="B9" t="str">
        <v>NT</v>
      </c>
      <c r="C9">
        <f>'dientu'!G9</f>
      </c>
      <c r="D9">
        <f>IF(ISERROR(C9),LEFT(B9&amp;"",1)="#",IF(ISNUMBER(C9),AND(ISNUMBER(B9),ABS(C9-B9)&lt;=0.000001*MAX(1,ABS(B9))),EXACT(C9&amp;"",B9&amp;"")))</f>
      </c>
      <c r="E9">
        <f>ISERROR(C9)</f>
      </c>
    </row>
    <row r="10">
      <c r="A10" t="str">
        <v>G10</v>
      </c>
      <c r="B10" t="str">
        <v>NT</v>
      </c>
      <c r="C10">
        <f>'dientu'!G10</f>
      </c>
      <c r="D10">
        <f>IF(ISERROR(C10),LEFT(B10&amp;"",1)="#",IF(ISNUMBER(C10),AND(ISNUMBER(B10),ABS(C10-B10)&lt;=0.000001*MAX(1,ABS(B10))),EXACT(C10&amp;"",B10&amp;"")))</f>
      </c>
      <c r="E10">
        <f>ISERROR(C10)</f>
      </c>
    </row>
    <row r="11">
      <c r="A11" t="str">
        <v>G11</v>
      </c>
      <c r="B11" t="str">
        <v>NT</v>
      </c>
      <c r="C11">
        <f>'dientu'!G11</f>
      </c>
      <c r="D11">
        <f>IF(ISERROR(C11),LEFT(B11&amp;"",1)="#",IF(ISNUMBER(C11),AND(ISNUMBER(B11),ABS(C11-B11)&lt;=0.000001*MAX(1,ABS(B11))),EXACT(C11&amp;"",B11&amp;"")))</f>
      </c>
      <c r="E11">
        <f>ISERROR(C11)</f>
      </c>
    </row>
    <row r="12">
      <c r="A12" t="str">
        <v>G12</v>
      </c>
      <c r="B12" t="str">
        <v>NT</v>
      </c>
      <c r="C12">
        <f>'dientu'!G12</f>
      </c>
      <c r="D12">
        <f>IF(ISERROR(C12),LEFT(B12&amp;"",1)="#",IF(ISNUMBER(C12),AND(ISNUMBER(B12),ABS(C12-B12)&lt;=0.000001*MAX(1,ABS(B12))),EXACT(C12&amp;"",B12&amp;"")))</f>
      </c>
      <c r="E12">
        <f>ISERROR(C12)</f>
      </c>
    </row>
    <row r="13">
      <c r="A13" t="str">
        <v>G13</v>
      </c>
      <c r="B13" t="str">
        <v>SS</v>
      </c>
      <c r="C13">
        <f>'dientu'!G13</f>
      </c>
      <c r="D13">
        <f>IF(ISERROR(C13),LEFT(B13&amp;"",1)="#",IF(ISNUMBER(C13),AND(ISNUMBER(B13),ABS(C13-B13)&lt;=0.000001*MAX(1,ABS(B13))),EXACT(C13&amp;"",B13&amp;"")))</f>
      </c>
      <c r="E13">
        <f>ISERROR(C13)</f>
      </c>
    </row>
    <row r="14">
      <c r="A14" t="str">
        <v>H2</v>
      </c>
      <c r="B14">
        <v>1</v>
      </c>
      <c r="C14">
        <f>'dientu'!H2</f>
      </c>
      <c r="D14">
        <f>IF(ISERROR(C14),LEFT(B14&amp;"",1)="#",IF(ISNUMBER(C14),AND(ISNUMBER(B14),ABS(C14-B14)&lt;=0.000001*MAX(1,ABS(B14))),EXACT(C14&amp;"",B14&amp;"")))</f>
      </c>
      <c r="E14">
        <f>ISERROR(C14)</f>
      </c>
    </row>
    <row r="15">
      <c r="A15" t="str">
        <v>H3</v>
      </c>
      <c r="B15">
        <v>2</v>
      </c>
      <c r="C15">
        <f>'dientu'!H3</f>
      </c>
      <c r="D15">
        <f>IF(ISERROR(C15),LEFT(B15&amp;"",1)="#",IF(ISNUMBER(C15),AND(ISNUMBER(B15),ABS(C15-B15)&lt;=0.000001*MAX(1,ABS(B15))),EXACT(C15&amp;"",B15&amp;"")))</f>
      </c>
      <c r="E15">
        <f>ISERROR(C15)</f>
      </c>
    </row>
    <row r="16">
      <c r="A16" t="str">
        <v>H4</v>
      </c>
      <c r="B16">
        <v>3</v>
      </c>
      <c r="C16">
        <f>'dientu'!H4</f>
      </c>
      <c r="D16">
        <f>IF(ISERROR(C16),LEFT(B16&amp;"",1)="#",IF(ISNUMBER(C16),AND(ISNUMBER(B16),ABS(C16-B16)&lt;=0.000001*MAX(1,ABS(B16))),EXACT(C16&amp;"",B16&amp;"")))</f>
      </c>
      <c r="E16">
        <f>ISERROR(C16)</f>
      </c>
    </row>
    <row r="17">
      <c r="A17" t="str">
        <v>H5</v>
      </c>
      <c r="B17">
        <v>4</v>
      </c>
      <c r="C17">
        <f>'dientu'!H5</f>
      </c>
      <c r="D17">
        <f>IF(ISERROR(C17),LEFT(B17&amp;"",1)="#",IF(ISNUMBER(C17),AND(ISNUMBER(B17),ABS(C17-B17)&lt;=0.000001*MAX(1,ABS(B17))),EXACT(C17&amp;"",B17&amp;"")))</f>
      </c>
      <c r="E17">
        <f>ISERROR(C17)</f>
      </c>
    </row>
    <row r="18">
      <c r="A18" t="str">
        <v>H6</v>
      </c>
      <c r="B18">
        <v>5</v>
      </c>
      <c r="C18">
        <f>'dientu'!H6</f>
      </c>
      <c r="D18">
        <f>IF(ISERROR(C18),LEFT(B18&amp;"",1)="#",IF(ISNUMBER(C18),AND(ISNUMBER(B18),ABS(C18-B18)&lt;=0.000001*MAX(1,ABS(B18))),EXACT(C18&amp;"",B18&amp;"")))</f>
      </c>
      <c r="E18">
        <f>ISERROR(C18)</f>
      </c>
    </row>
    <row r="19">
      <c r="A19" t="str">
        <v>H7</v>
      </c>
      <c r="B19">
        <v>6</v>
      </c>
      <c r="C19">
        <f>'dientu'!H7</f>
      </c>
      <c r="D19">
        <f>IF(ISERROR(C19),LEFT(B19&amp;"",1)="#",IF(ISNUMBER(C19),AND(ISNUMBER(B19),ABS(C19-B19)&lt;=0.000001*MAX(1,ABS(B19))),EXACT(C19&amp;"",B19&amp;"")))</f>
      </c>
      <c r="E19">
        <f>ISERROR(C19)</f>
      </c>
    </row>
    <row r="20">
      <c r="A20" t="str">
        <v>H8</v>
      </c>
      <c r="B20">
        <v>7</v>
      </c>
      <c r="C20">
        <f>'dientu'!H8</f>
      </c>
      <c r="D20">
        <f>IF(ISERROR(C20),LEFT(B20&amp;"",1)="#",IF(ISNUMBER(C20),AND(ISNUMBER(B20),ABS(C20-B20)&lt;=0.000001*MAX(1,ABS(B20))),EXACT(C20&amp;"",B20&amp;"")))</f>
      </c>
      <c r="E20">
        <f>ISERROR(C20)</f>
      </c>
    </row>
    <row r="21">
      <c r="A21" t="str">
        <v>H9</v>
      </c>
      <c r="B21">
        <v>8</v>
      </c>
      <c r="C21">
        <f>'dientu'!H9</f>
      </c>
      <c r="D21">
        <f>IF(ISERROR(C21),LEFT(B21&amp;"",1)="#",IF(ISNUMBER(C21),AND(ISNUMBER(B21),ABS(C21-B21)&lt;=0.000001*MAX(1,ABS(B21))),EXACT(C21&amp;"",B21&amp;"")))</f>
      </c>
      <c r="E21">
        <f>ISERROR(C21)</f>
      </c>
    </row>
    <row r="22">
      <c r="A22" t="str">
        <v>H10</v>
      </c>
      <c r="B22">
        <v>9</v>
      </c>
      <c r="C22">
        <f>'dientu'!H10</f>
      </c>
      <c r="D22">
        <f>IF(ISERROR(C22),LEFT(B22&amp;"",1)="#",IF(ISNUMBER(C22),AND(ISNUMBER(B22),ABS(C22-B22)&lt;=0.000001*MAX(1,ABS(B22))),EXACT(C22&amp;"",B22&amp;"")))</f>
      </c>
      <c r="E22">
        <f>ISERROR(C22)</f>
      </c>
    </row>
    <row r="23">
      <c r="A23" t="str">
        <v>H11</v>
      </c>
      <c r="B23">
        <v>10</v>
      </c>
      <c r="C23">
        <f>'dientu'!H11</f>
      </c>
      <c r="D23">
        <f>IF(ISERROR(C23),LEFT(B23&amp;"",1)="#",IF(ISNUMBER(C23),AND(ISNUMBER(B23),ABS(C23-B23)&lt;=0.000001*MAX(1,ABS(B23))),EXACT(C23&amp;"",B23&amp;"")))</f>
      </c>
      <c r="E23">
        <f>ISERROR(C23)</f>
      </c>
    </row>
    <row r="24">
      <c r="A24" t="str">
        <v>H12</v>
      </c>
      <c r="B24">
        <v>11</v>
      </c>
      <c r="C24">
        <f>'dientu'!H12</f>
      </c>
      <c r="D24">
        <f>IF(ISERROR(C24),LEFT(B24&amp;"",1)="#",IF(ISNUMBER(C24),AND(ISNUMBER(B24),ABS(C24-B24)&lt;=0.000001*MAX(1,ABS(B24))),EXACT(C24&amp;"",B24&amp;"")))</f>
      </c>
      <c r="E24">
        <f>ISERROR(C24)</f>
      </c>
    </row>
    <row r="25">
      <c r="A25" t="str">
        <v>H13</v>
      </c>
      <c r="B25">
        <v>12</v>
      </c>
      <c r="C25">
        <f>'dientu'!H13</f>
      </c>
      <c r="D25">
        <f>IF(ISERROR(C25),LEFT(B25&amp;"",1)="#",IF(ISNUMBER(C25),AND(ISNUMBER(B25),ABS(C25-B25)&lt;=0.000001*MAX(1,ABS(B25))),EXACT(C25&amp;"",B25&amp;"")))</f>
      </c>
      <c r="E25">
        <f>ISERROR(C25)</f>
      </c>
    </row>
    <row r="26">
      <c r="A26" t="str">
        <v>I2</v>
      </c>
      <c r="B26" t="str">
        <v>Noi tiep</v>
      </c>
      <c r="C26">
        <f>'dientu'!I2</f>
      </c>
      <c r="D26">
        <f>IF(ISERROR(C26),LEFT(B26&amp;"",1)="#",IF(ISNUMBER(C26),AND(ISNUMBER(B26),ABS(C26-B26)&lt;=0.000001*MAX(1,ABS(B26))),EXACT(C26&amp;"",B26&amp;"")))</f>
      </c>
      <c r="E26">
        <f>ISERROR(C26)</f>
      </c>
    </row>
    <row r="27">
      <c r="A27" t="str">
        <v>I3</v>
      </c>
      <c r="B27" t="str">
        <v>Song song</v>
      </c>
      <c r="C27">
        <f>'dientu'!I3</f>
      </c>
      <c r="D27">
        <f>IF(ISERROR(C27),LEFT(B27&amp;"",1)="#",IF(ISNUMBER(C27),AND(ISNUMBER(B27),ABS(C27-B27)&lt;=0.000001*MAX(1,ABS(B27))),EXACT(C27&amp;"",B27&amp;"")))</f>
      </c>
      <c r="E27">
        <f>ISERROR(C27)</f>
      </c>
    </row>
    <row r="28">
      <c r="A28" t="str">
        <v>I4</v>
      </c>
      <c r="B28" t="str">
        <v>Song song</v>
      </c>
      <c r="C28">
        <f>'dientu'!I4</f>
      </c>
      <c r="D28">
        <f>IF(ISERROR(C28),LEFT(B28&amp;"",1)="#",IF(ISNUMBER(C28),AND(ISNUMBER(B28),ABS(C28-B28)&lt;=0.000001*MAX(1,ABS(B28))),EXACT(C28&amp;"",B28&amp;"")))</f>
      </c>
      <c r="E28">
        <f>ISERROR(C28)</f>
      </c>
    </row>
    <row r="29">
      <c r="A29" t="str">
        <v>I5</v>
      </c>
      <c r="B29" t="str">
        <v>Noi tiep</v>
      </c>
      <c r="C29">
        <f>'dientu'!I5</f>
      </c>
      <c r="D29">
        <f>IF(ISERROR(C29),LEFT(B29&amp;"",1)="#",IF(ISNUMBER(C29),AND(ISNUMBER(B29),ABS(C29-B29)&lt;=0.000001*MAX(1,ABS(B29))),EXACT(C29&amp;"",B29&amp;"")))</f>
      </c>
      <c r="E29">
        <f>ISERROR(C29)</f>
      </c>
    </row>
    <row r="30">
      <c r="A30" t="str">
        <v>I6</v>
      </c>
      <c r="B30" t="str">
        <v>Noi tiep</v>
      </c>
      <c r="C30">
        <f>'dientu'!I6</f>
      </c>
      <c r="D30">
        <f>IF(ISERROR(C30),LEFT(B30&amp;"",1)="#",IF(ISNUMBER(C30),AND(ISNUMBER(B30),ABS(C30-B30)&lt;=0.000001*MAX(1,ABS(B30))),EXACT(C30&amp;"",B30&amp;"")))</f>
      </c>
      <c r="E30">
        <f>ISERROR(C30)</f>
      </c>
    </row>
    <row r="31">
      <c r="A31" t="str">
        <v>I7</v>
      </c>
      <c r="B31" t="str">
        <v>Noi tiep</v>
      </c>
      <c r="C31">
        <f>'dientu'!I7</f>
      </c>
      <c r="D31">
        <f>IF(ISERROR(C31),LEFT(B31&amp;"",1)="#",IF(ISNUMBER(C31),AND(ISNUMBER(B31),ABS(C31-B31)&lt;=0.000001*MAX(1,ABS(B31))),EXACT(C31&amp;"",B31&amp;"")))</f>
      </c>
      <c r="E31">
        <f>ISERROR(C31)</f>
      </c>
    </row>
    <row r="32">
      <c r="A32" t="str">
        <v>I8</v>
      </c>
      <c r="B32" t="str">
        <v>Song song</v>
      </c>
      <c r="C32">
        <f>'dientu'!I8</f>
      </c>
      <c r="D32">
        <f>IF(ISERROR(C32),LEFT(B32&amp;"",1)="#",IF(ISNUMBER(C32),AND(ISNUMBER(B32),ABS(C32-B32)&lt;=0.000001*MAX(1,ABS(B32))),EXACT(C32&amp;"",B32&amp;"")))</f>
      </c>
      <c r="E32">
        <f>ISERROR(C32)</f>
      </c>
    </row>
    <row r="33">
      <c r="A33" t="str">
        <v>I9</v>
      </c>
      <c r="B33" t="str">
        <v>Noi tiep</v>
      </c>
      <c r="C33">
        <f>'dientu'!I9</f>
      </c>
      <c r="D33">
        <f>IF(ISERROR(C33),LEFT(B33&amp;"",1)="#",IF(ISNUMBER(C33),AND(ISNUMBER(B33),ABS(C33-B33)&lt;=0.000001*MAX(1,ABS(B33))),EXACT(C33&amp;"",B33&amp;"")))</f>
      </c>
      <c r="E33">
        <f>ISERROR(C33)</f>
      </c>
    </row>
    <row r="34">
      <c r="A34" t="str">
        <v>I10</v>
      </c>
      <c r="B34" t="str">
        <v>Noi tiep</v>
      </c>
      <c r="C34">
        <f>'dientu'!I10</f>
      </c>
      <c r="D34">
        <f>IF(ISERROR(C34),LEFT(B34&amp;"",1)="#",IF(ISNUMBER(C34),AND(ISNUMBER(B34),ABS(C34-B34)&lt;=0.000001*MAX(1,ABS(B34))),EXACT(C34&amp;"",B34&amp;"")))</f>
      </c>
      <c r="E34">
        <f>ISERROR(C34)</f>
      </c>
    </row>
    <row r="35">
      <c r="A35" t="str">
        <v>I11</v>
      </c>
      <c r="B35" t="str">
        <v>Noi tiep</v>
      </c>
      <c r="C35">
        <f>'dientu'!I11</f>
      </c>
      <c r="D35">
        <f>IF(ISERROR(C35),LEFT(B35&amp;"",1)="#",IF(ISNUMBER(C35),AND(ISNUMBER(B35),ABS(C35-B35)&lt;=0.000001*MAX(1,ABS(B35))),EXACT(C35&amp;"",B35&amp;"")))</f>
      </c>
      <c r="E35">
        <f>ISERROR(C35)</f>
      </c>
    </row>
    <row r="36">
      <c r="A36" t="str">
        <v>I12</v>
      </c>
      <c r="B36" t="str">
        <v>Noi tiep</v>
      </c>
      <c r="C36">
        <f>'dientu'!I12</f>
      </c>
      <c r="D36">
        <f>IF(ISERROR(C36),LEFT(B36&amp;"",1)="#",IF(ISNUMBER(C36),AND(ISNUMBER(B36),ABS(C36-B36)&lt;=0.000001*MAX(1,ABS(B36))),EXACT(C36&amp;"",B36&amp;"")))</f>
      </c>
      <c r="E36">
        <f>ISERROR(C36)</f>
      </c>
    </row>
    <row r="37">
      <c r="A37" t="str">
        <v>I13</v>
      </c>
      <c r="B37" t="str">
        <v>Song song</v>
      </c>
      <c r="C37">
        <f>'dientu'!I13</f>
      </c>
      <c r="D37">
        <f>IF(ISERROR(C37),LEFT(B37&amp;"",1)="#",IF(ISNUMBER(C37),AND(ISNUMBER(B37),ABS(C37-B37)&lt;=0.000001*MAX(1,ABS(B37))),EXACT(C37&amp;"",B37&amp;"")))</f>
      </c>
      <c r="E37">
        <f>ISERROR(C37)</f>
      </c>
    </row>
    <row r="38">
      <c r="A38" t="str">
        <v>J2</v>
      </c>
      <c r="B38">
        <v>1180</v>
      </c>
      <c r="C38">
        <f>'dientu'!J2</f>
      </c>
      <c r="D38">
        <f>IF(ISERROR(C38),LEFT(B38&amp;"",1)="#",IF(ISNUMBER(C38),AND(ISNUMBER(B38),ABS(C38-B38)&lt;=0.000001*MAX(1,ABS(B38))),EXACT(C38&amp;"",B38&amp;"")))</f>
      </c>
      <c r="E38">
        <f>ISERROR(C38)</f>
      </c>
    </row>
    <row r="39">
      <c r="A39" t="str">
        <v>J3</v>
      </c>
      <c r="B39">
        <v>89.9</v>
      </c>
      <c r="C39">
        <f>'dientu'!J3</f>
      </c>
      <c r="D39">
        <f>IF(ISERROR(C39),LEFT(B39&amp;"",1)="#",IF(ISNUMBER(C39),AND(ISNUMBER(B39),ABS(C39-B39)&lt;=0.000001*MAX(1,ABS(B39))),EXACT(C39&amp;"",B39&amp;"")))</f>
      </c>
      <c r="E39">
        <f>ISERROR(C39)</f>
      </c>
    </row>
    <row r="40">
      <c r="A40" t="str">
        <v>J4</v>
      </c>
      <c r="B40">
        <v>194.49</v>
      </c>
      <c r="C40">
        <f>'dientu'!J4</f>
      </c>
      <c r="D40">
        <f>IF(ISERROR(C40),LEFT(B40&amp;"",1)="#",IF(ISNUMBER(C40),AND(ISNUMBER(B40),ABS(C40-B40)&lt;=0.000001*MAX(1,ABS(B40))),EXACT(C40&amp;"",B40&amp;"")))</f>
      </c>
      <c r="E40">
        <f>ISERROR(C40)</f>
      </c>
    </row>
    <row r="41">
      <c r="A41" t="str">
        <v>J5</v>
      </c>
      <c r="B41">
        <v>1680</v>
      </c>
      <c r="C41">
        <f>'dientu'!J5</f>
      </c>
      <c r="D41">
        <f>IF(ISERROR(C41),LEFT(B41&amp;"",1)="#",IF(ISNUMBER(C41),AND(ISNUMBER(B41),ABS(C41-B41)&lt;=0.000001*MAX(1,ABS(B41))),EXACT(C41&amp;"",B41&amp;"")))</f>
      </c>
      <c r="E41">
        <f>ISERROR(C41)</f>
      </c>
    </row>
    <row r="42">
      <c r="A42" t="str">
        <v>J6</v>
      </c>
      <c r="B42">
        <v>910</v>
      </c>
      <c r="C42">
        <f>'dientu'!J6</f>
      </c>
      <c r="D42">
        <f>IF(ISERROR(C42),LEFT(B42&amp;"",1)="#",IF(ISNUMBER(C42),AND(ISNUMBER(B42),ABS(C42-B42)&lt;=0.000001*MAX(1,ABS(B42))),EXACT(C42&amp;"",B42&amp;"")))</f>
      </c>
      <c r="E42">
        <f>ISERROR(C42)</f>
      </c>
    </row>
    <row r="43">
      <c r="A43" t="str">
        <v>J7</v>
      </c>
      <c r="B43">
        <v>1870</v>
      </c>
      <c r="C43">
        <f>'dientu'!J7</f>
      </c>
      <c r="D43">
        <f>IF(ISERROR(C43),LEFT(B43&amp;"",1)="#",IF(ISNUMBER(C43),AND(ISNUMBER(B43),ABS(C43-B43)&lt;=0.000001*MAX(1,ABS(B43))),EXACT(C43&amp;"",B43&amp;"")))</f>
      </c>
      <c r="E43">
        <f>ISERROR(C43)</f>
      </c>
    </row>
    <row r="44">
      <c r="A44" t="str">
        <v>J8</v>
      </c>
      <c r="B44">
        <v>292.06</v>
      </c>
      <c r="C44">
        <f>'dientu'!J8</f>
      </c>
      <c r="D44">
        <f>IF(ISERROR(C44),LEFT(B44&amp;"",1)="#",IF(ISNUMBER(C44),AND(ISNUMBER(B44),ABS(C44-B44)&lt;=0.000001*MAX(1,ABS(B44))),EXACT(C44&amp;"",B44&amp;"")))</f>
      </c>
      <c r="E44">
        <f>ISERROR(C44)</f>
      </c>
    </row>
    <row r="45">
      <c r="A45" t="str">
        <v>J9</v>
      </c>
      <c r="B45">
        <v>800</v>
      </c>
      <c r="C45">
        <f>'dientu'!J9</f>
      </c>
      <c r="D45">
        <f>IF(ISERROR(C45),LEFT(B45&amp;"",1)="#",IF(ISNUMBER(C45),AND(ISNUMBER(B45),ABS(C45-B45)&lt;=0.000001*MAX(1,ABS(B45))),EXACT(C45&amp;"",B45&amp;"")))</f>
      </c>
      <c r="E45">
        <f>ISERROR(C45)</f>
      </c>
    </row>
    <row r="46">
      <c r="A46" t="str">
        <v>J10</v>
      </c>
      <c r="B46">
        <v>620</v>
      </c>
      <c r="C46">
        <f>'dientu'!J10</f>
      </c>
      <c r="D46">
        <f>IF(ISERROR(C46),LEFT(B46&amp;"",1)="#",IF(ISNUMBER(C46),AND(ISNUMBER(B46),ABS(C46-B46)&lt;=0.000001*MAX(1,ABS(B46))),EXACT(C46&amp;"",B46&amp;"")))</f>
      </c>
      <c r="E46">
        <f>ISERROR(C46)</f>
      </c>
    </row>
    <row r="47">
      <c r="A47" t="str">
        <v>J11</v>
      </c>
      <c r="B47">
        <v>1370</v>
      </c>
      <c r="C47">
        <f>'dientu'!J11</f>
      </c>
      <c r="D47">
        <f>IF(ISERROR(C47),LEFT(B47&amp;"",1)="#",IF(ISNUMBER(C47),AND(ISNUMBER(B47),ABS(C47-B47)&lt;=0.000001*MAX(1,ABS(B47))),EXACT(C47&amp;"",B47&amp;"")))</f>
      </c>
      <c r="E47">
        <f>ISERROR(C47)</f>
      </c>
    </row>
    <row r="48">
      <c r="A48" t="str">
        <v>J12</v>
      </c>
      <c r="B48">
        <v>1060</v>
      </c>
      <c r="C48">
        <f>'dientu'!J12</f>
      </c>
      <c r="D48">
        <f>IF(ISERROR(C48),LEFT(B48&amp;"",1)="#",IF(ISNUMBER(C48),AND(ISNUMBER(B48),ABS(C48-B48)&lt;=0.000001*MAX(1,ABS(B48))),EXACT(C48&amp;"",B48&amp;"")))</f>
      </c>
      <c r="E48">
        <f>ISERROR(C48)</f>
      </c>
    </row>
    <row r="49">
      <c r="A49" t="str">
        <v>J13</v>
      </c>
      <c r="B49">
        <v>83.06</v>
      </c>
      <c r="C49">
        <f>'dientu'!J13</f>
      </c>
      <c r="D49">
        <f>IF(ISERROR(C49),LEFT(B49&amp;"",1)="#",IF(ISNUMBER(C49),AND(ISNUMBER(B49),ABS(C49-B49)&lt;=0.000001*MAX(1,ABS(B49))),EXACT(C49&amp;"",B49&amp;"")))</f>
      </c>
      <c r="E49">
        <f>ISERROR(C49)</f>
      </c>
    </row>
    <row r="50">
      <c r="A50" t="str">
        <v>K2</v>
      </c>
      <c r="B50">
        <v>7.63</v>
      </c>
      <c r="C50">
        <f>'dientu'!K2</f>
      </c>
      <c r="D50">
        <f>IF(ISERROR(C50),LEFT(B50&amp;"",1)="#",IF(ISNUMBER(C50),AND(ISNUMBER(B50),ABS(C50-B50)&lt;=0.000001*MAX(1,ABS(B50))),EXACT(C50&amp;"",B50&amp;"")))</f>
      </c>
      <c r="E50">
        <f>ISERROR(C50)</f>
      </c>
    </row>
    <row r="51">
      <c r="A51" t="str">
        <v>K3</v>
      </c>
      <c r="B51">
        <v>266.96</v>
      </c>
      <c r="C51">
        <f>'dientu'!K3</f>
      </c>
      <c r="D51">
        <f>IF(ISERROR(C51),LEFT(B51&amp;"",1)="#",IF(ISNUMBER(C51),AND(ISNUMBER(B51),ABS(C51-B51)&lt;=0.000001*MAX(1,ABS(B51))),EXACT(C51&amp;"",B51&amp;"")))</f>
      </c>
      <c r="E51">
        <f>ISERROR(C51)</f>
      </c>
    </row>
    <row r="52">
      <c r="A52" t="str">
        <v>K4</v>
      </c>
      <c r="B52">
        <v>123.4</v>
      </c>
      <c r="C52">
        <f>'dientu'!K4</f>
      </c>
      <c r="D52">
        <f>IF(ISERROR(C52),LEFT(B52&amp;"",1)="#",IF(ISNUMBER(C52),AND(ISNUMBER(B52),ABS(C52-B52)&lt;=0.000001*MAX(1,ABS(B52))),EXACT(C52&amp;"",B52&amp;"")))</f>
      </c>
      <c r="E52">
        <f>ISERROR(C52)</f>
      </c>
    </row>
    <row r="53">
      <c r="A53" t="str">
        <v>K5</v>
      </c>
      <c r="B53">
        <v>2.98</v>
      </c>
      <c r="C53">
        <f>'dientu'!K5</f>
      </c>
      <c r="D53">
        <f>IF(ISERROR(C53),LEFT(B53&amp;"",1)="#",IF(ISNUMBER(C53),AND(ISNUMBER(B53),ABS(C53-B53)&lt;=0.000001*MAX(1,ABS(B53))),EXACT(C53&amp;"",B53&amp;"")))</f>
      </c>
      <c r="E53">
        <f>ISERROR(C53)</f>
      </c>
    </row>
    <row r="54">
      <c r="A54" t="str">
        <v>K6</v>
      </c>
      <c r="B54">
        <v>13.19</v>
      </c>
      <c r="C54">
        <f>'dientu'!K6</f>
      </c>
      <c r="D54">
        <f>IF(ISERROR(C54),LEFT(B54&amp;"",1)="#",IF(ISNUMBER(C54),AND(ISNUMBER(B54),ABS(C54-B54)&lt;=0.000001*MAX(1,ABS(B54))),EXACT(C54&amp;"",B54&amp;"")))</f>
      </c>
      <c r="E54">
        <f>ISERROR(C54)</f>
      </c>
    </row>
    <row r="55">
      <c r="A55" t="str">
        <v>K7</v>
      </c>
      <c r="B55">
        <v>6.42</v>
      </c>
      <c r="C55">
        <f>'dientu'!K7</f>
      </c>
      <c r="D55">
        <f>IF(ISERROR(C55),LEFT(B55&amp;"",1)="#",IF(ISNUMBER(C55),AND(ISNUMBER(B55),ABS(C55-B55)&lt;=0.000001*MAX(1,ABS(B55))),EXACT(C55&amp;"",B55&amp;"")))</f>
      </c>
      <c r="E55">
        <f>ISERROR(C55)</f>
      </c>
    </row>
    <row r="56">
      <c r="A56" t="str">
        <v>K8</v>
      </c>
      <c r="B56">
        <v>82.17</v>
      </c>
      <c r="C56">
        <f>'dientu'!K8</f>
      </c>
      <c r="D56">
        <f>IF(ISERROR(C56),LEFT(B56&amp;"",1)="#",IF(ISNUMBER(C56),AND(ISNUMBER(B56),ABS(C56-B56)&lt;=0.000001*MAX(1,ABS(B56))),EXACT(C56&amp;"",B56&amp;"")))</f>
      </c>
      <c r="E56">
        <f>ISERROR(C56)</f>
      </c>
    </row>
    <row r="57">
      <c r="A57" t="str">
        <v>K9</v>
      </c>
      <c r="B57">
        <v>6.25</v>
      </c>
      <c r="C57">
        <f>'dientu'!K9</f>
      </c>
      <c r="D57">
        <f>IF(ISERROR(C57),LEFT(B57&amp;"",1)="#",IF(ISNUMBER(C57),AND(ISNUMBER(B57),ABS(C57-B57)&lt;=0.000001*MAX(1,ABS(B57))),EXACT(C57&amp;"",B57&amp;"")))</f>
      </c>
      <c r="E57">
        <f>ISERROR(C57)</f>
      </c>
    </row>
    <row r="58">
      <c r="A58" t="str">
        <v>K10</v>
      </c>
      <c r="B58">
        <v>19.35</v>
      </c>
      <c r="C58">
        <f>'dientu'!K10</f>
      </c>
      <c r="D58">
        <f>IF(ISERROR(C58),LEFT(B58&amp;"",1)="#",IF(ISNUMBER(C58),AND(ISNUMBER(B58),ABS(C58-B58)&lt;=0.000001*MAX(1,ABS(B58))),EXACT(C58&amp;"",B58&amp;"")))</f>
      </c>
      <c r="E58">
        <f>ISERROR(C58)</f>
      </c>
    </row>
    <row r="59">
      <c r="A59" t="str">
        <v>K11</v>
      </c>
      <c r="B59">
        <v>8.76</v>
      </c>
      <c r="C59">
        <f>'dientu'!K11</f>
      </c>
      <c r="D59">
        <f>IF(ISERROR(C59),LEFT(B59&amp;"",1)="#",IF(ISNUMBER(C59),AND(ISNUMBER(B59),ABS(C59-B59)&lt;=0.000001*MAX(1,ABS(B59))),EXACT(C59&amp;"",B59&amp;"")))</f>
      </c>
      <c r="E59">
        <f>ISERROR(C59)</f>
      </c>
    </row>
    <row r="60">
      <c r="A60" t="str">
        <v>K12</v>
      </c>
      <c r="B60">
        <v>8.49</v>
      </c>
      <c r="C60">
        <f>'dientu'!K12</f>
      </c>
      <c r="D60">
        <f>IF(ISERROR(C60),LEFT(B60&amp;"",1)="#",IF(ISNUMBER(C60),AND(ISNUMBER(B60),ABS(C60-B60)&lt;=0.000001*MAX(1,ABS(B60))),EXACT(C60&amp;"",B60&amp;"")))</f>
      </c>
      <c r="E60">
        <f>ISERROR(C60)</f>
      </c>
    </row>
    <row r="61">
      <c r="A61" t="str">
        <v>K13</v>
      </c>
      <c r="B61">
        <v>60.2</v>
      </c>
      <c r="C61">
        <f>'dientu'!K13</f>
      </c>
      <c r="D61">
        <f>IF(ISERROR(C61),LEFT(B61&amp;"",1)="#",IF(ISNUMBER(C61),AND(ISNUMBER(B61),ABS(C61-B61)&lt;=0.000001*MAX(1,ABS(B61))),EXACT(C61&amp;"",B61&amp;"")))</f>
      </c>
      <c r="E61">
        <f>ISERROR(C61)</f>
      </c>
    </row>
    <row r="62">
      <c r="A62" t="str">
        <v>L2</v>
      </c>
      <c r="B62">
        <v>0.069</v>
      </c>
      <c r="C62">
        <f>'dientu'!L2</f>
      </c>
      <c r="D62">
        <f>IF(ISERROR(C62),LEFT(B62&amp;"",1)="#",IF(ISNUMBER(C62),AND(ISNUMBER(B62),ABS(C62-B62)&lt;=0.000001*MAX(1,ABS(B62))),EXACT(C62&amp;"",B62&amp;"")))</f>
      </c>
      <c r="E62">
        <f>ISERROR(C62)</f>
      </c>
    </row>
    <row r="63">
      <c r="A63" t="str">
        <v>L3</v>
      </c>
      <c r="B63">
        <v>6.407</v>
      </c>
      <c r="C63">
        <f>'dientu'!L3</f>
      </c>
      <c r="D63">
        <f>IF(ISERROR(C63),LEFT(B63&amp;"",1)="#",IF(ISNUMBER(C63),AND(ISNUMBER(B63),ABS(C63-B63)&lt;=0.000001*MAX(1,ABS(B63))),EXACT(C63&amp;"",B63&amp;"")))</f>
      </c>
      <c r="E63">
        <f>ISERROR(C63)</f>
      </c>
    </row>
    <row r="64">
      <c r="A64" t="str">
        <v>L4</v>
      </c>
      <c r="B64">
        <v>2.962</v>
      </c>
      <c r="C64">
        <f>'dientu'!L4</f>
      </c>
      <c r="D64">
        <f>IF(ISERROR(C64),LEFT(B64&amp;"",1)="#",IF(ISNUMBER(C64),AND(ISNUMBER(B64),ABS(C64-B64)&lt;=0.000001*MAX(1,ABS(B64))),EXACT(C64&amp;"",B64&amp;"")))</f>
      </c>
      <c r="E64">
        <f>ISERROR(C64)</f>
      </c>
    </row>
    <row r="65">
      <c r="A65" t="str">
        <v>L5</v>
      </c>
      <c r="B65">
        <v>0.015</v>
      </c>
      <c r="C65">
        <f>'dientu'!L5</f>
      </c>
      <c r="D65">
        <f>IF(ISERROR(C65),LEFT(B65&amp;"",1)="#",IF(ISNUMBER(C65),AND(ISNUMBER(B65),ABS(C65-B65)&lt;=0.000001*MAX(1,ABS(B65))),EXACT(C65&amp;"",B65&amp;"")))</f>
      </c>
      <c r="E65">
        <f>ISERROR(C65)</f>
      </c>
    </row>
    <row r="66">
      <c r="A66" t="str">
        <v>L6</v>
      </c>
      <c r="B66">
        <v>0.158</v>
      </c>
      <c r="C66">
        <f>'dientu'!L6</f>
      </c>
      <c r="D66">
        <f>IF(ISERROR(C66),LEFT(B66&amp;"",1)="#",IF(ISNUMBER(C66),AND(ISNUMBER(B66),ABS(C66-B66)&lt;=0.000001*MAX(1,ABS(B66))),EXACT(C66&amp;"",B66&amp;"")))</f>
      </c>
      <c r="E66">
        <f>ISERROR(C66)</f>
      </c>
    </row>
    <row r="67">
      <c r="A67" t="str">
        <v>L7</v>
      </c>
      <c r="B67">
        <v>0.077</v>
      </c>
      <c r="C67">
        <f>'dientu'!L7</f>
      </c>
      <c r="D67">
        <f>IF(ISERROR(C67),LEFT(B67&amp;"",1)="#",IF(ISNUMBER(C67),AND(ISNUMBER(B67),ABS(C67-B67)&lt;=0.000001*MAX(1,ABS(B67))),EXACT(C67&amp;"",B67&amp;"")))</f>
      </c>
      <c r="E67">
        <f>ISERROR(C67)</f>
      </c>
    </row>
    <row r="68">
      <c r="A68" t="str">
        <v>L8</v>
      </c>
      <c r="B68">
        <v>1.972</v>
      </c>
      <c r="C68">
        <f>'dientu'!L8</f>
      </c>
      <c r="D68">
        <f>IF(ISERROR(C68),LEFT(B68&amp;"",1)="#",IF(ISNUMBER(C68),AND(ISNUMBER(B68),ABS(C68-B68)&lt;=0.000001*MAX(1,ABS(B68))),EXACT(C68&amp;"",B68&amp;"")))</f>
      </c>
      <c r="E68">
        <f>ISERROR(C68)</f>
      </c>
    </row>
    <row r="69">
      <c r="A69" t="str">
        <v>L9</v>
      </c>
      <c r="B69">
        <v>0.031</v>
      </c>
      <c r="C69">
        <f>'dientu'!L9</f>
      </c>
      <c r="D69">
        <f>IF(ISERROR(C69),LEFT(B69&amp;"",1)="#",IF(ISNUMBER(C69),AND(ISNUMBER(B69),ABS(C69-B69)&lt;=0.000001*MAX(1,ABS(B69))),EXACT(C69&amp;"",B69&amp;"")))</f>
      </c>
      <c r="E69">
        <f>ISERROR(C69)</f>
      </c>
    </row>
    <row r="70">
      <c r="A70" t="str">
        <v>L10</v>
      </c>
      <c r="B70">
        <v>0.232</v>
      </c>
      <c r="C70">
        <f>'dientu'!L10</f>
      </c>
      <c r="D70">
        <f>IF(ISERROR(C70),LEFT(B70&amp;"",1)="#",IF(ISNUMBER(C70),AND(ISNUMBER(B70),ABS(C70-B70)&lt;=0.000001*MAX(1,ABS(B70))),EXACT(C70&amp;"",B70&amp;"")))</f>
      </c>
      <c r="E70">
        <f>ISERROR(C70)</f>
      </c>
    </row>
    <row r="71">
      <c r="A71" t="str">
        <v>L11</v>
      </c>
      <c r="B71">
        <v>0.105</v>
      </c>
      <c r="C71">
        <f>'dientu'!L11</f>
      </c>
      <c r="D71">
        <f>IF(ISERROR(C71),LEFT(B71&amp;"",1)="#",IF(ISNUMBER(C71),AND(ISNUMBER(B71),ABS(C71-B71)&lt;=0.000001*MAX(1,ABS(B71))),EXACT(C71&amp;"",B71&amp;"")))</f>
      </c>
      <c r="E71">
        <f>ISERROR(C71)</f>
      </c>
    </row>
    <row r="72">
      <c r="A72" t="str">
        <v>L12</v>
      </c>
      <c r="B72">
        <v>0.076</v>
      </c>
      <c r="C72">
        <f>'dientu'!L12</f>
      </c>
      <c r="D72">
        <f>IF(ISERROR(C72),LEFT(B72&amp;"",1)="#",IF(ISNUMBER(C72),AND(ISNUMBER(B72),ABS(C72-B72)&lt;=0.000001*MAX(1,ABS(B72))),EXACT(C72&amp;"",B72&amp;"")))</f>
      </c>
      <c r="E72">
        <f>ISERROR(C72)</f>
      </c>
    </row>
    <row r="73">
      <c r="A73" t="str">
        <v>L13</v>
      </c>
      <c r="B73">
        <v>0.301</v>
      </c>
      <c r="C73">
        <f>'dientu'!L13</f>
      </c>
      <c r="D73">
        <f>IF(ISERROR(C73),LEFT(B73&amp;"",1)="#",IF(ISNUMBER(C73),AND(ISNUMBER(B73),ABS(C73-B73)&lt;=0.000001*MAX(1,ABS(B73))),EXACT(C73&amp;"",B73&amp;"")))</f>
      </c>
      <c r="E73">
        <f>ISERROR(C73)</f>
      </c>
    </row>
    <row r="74">
      <c r="A74" t="str">
        <v>M2</v>
      </c>
      <c r="B74">
        <v>5032.9</v>
      </c>
      <c r="C74">
        <f>'dientu'!M2</f>
      </c>
      <c r="D74">
        <f>IF(ISERROR(C74),LEFT(B74&amp;"",1)="#",IF(ISNUMBER(C74),AND(ISNUMBER(B74),ABS(C74-B74)&lt;=0.000001*MAX(1,ABS(B74))),EXACT(C74&amp;"",B74&amp;"")))</f>
      </c>
      <c r="E74">
        <f>ISERROR(C74)</f>
      </c>
    </row>
    <row r="75">
      <c r="A75" t="str">
        <v>M3</v>
      </c>
      <c r="B75">
        <v>1641.6</v>
      </c>
      <c r="C75">
        <f>'dientu'!M3</f>
      </c>
      <c r="D75">
        <f>IF(ISERROR(C75),LEFT(B75&amp;"",1)="#",IF(ISNUMBER(C75),AND(ISNUMBER(B75),ABS(C75-B75)&lt;=0.000001*MAX(1,ABS(B75))),EXACT(C75&amp;"",B75&amp;"")))</f>
      </c>
      <c r="E75">
        <f>ISERROR(C75)</f>
      </c>
    </row>
    <row r="76">
      <c r="A76" t="str">
        <v>M4</v>
      </c>
      <c r="B76">
        <v>503.3</v>
      </c>
      <c r="C76">
        <f>'dientu'!M4</f>
      </c>
      <c r="D76">
        <f>IF(ISERROR(C76),LEFT(B76&amp;"",1)="#",IF(ISNUMBER(C76),AND(ISNUMBER(B76),ABS(C76-B76)&lt;=0.000001*MAX(1,ABS(B76))),EXACT(C76&amp;"",B76&amp;"")))</f>
      </c>
      <c r="E76">
        <f>ISERROR(C76)</f>
      </c>
    </row>
    <row r="77">
      <c r="A77" t="str">
        <v>M5</v>
      </c>
      <c r="B77">
        <v>339.3</v>
      </c>
      <c r="C77">
        <f>'dientu'!M5</f>
      </c>
      <c r="D77">
        <f>IF(ISERROR(C77),LEFT(B77&amp;"",1)="#",IF(ISNUMBER(C77),AND(ISNUMBER(B77),ABS(C77-B77)&lt;=0.000001*MAX(1,ABS(B77))),EXACT(C77&amp;"",B77&amp;"")))</f>
      </c>
      <c r="E77">
        <f>ISERROR(C77)</f>
      </c>
    </row>
    <row r="78">
      <c r="A78" t="str">
        <v>M6</v>
      </c>
      <c r="B78">
        <v>5032.9</v>
      </c>
      <c r="C78">
        <f>'dientu'!M6</f>
      </c>
      <c r="D78">
        <f>IF(ISERROR(C78),LEFT(B78&amp;"",1)="#",IF(ISNUMBER(C78),AND(ISNUMBER(B78),ABS(C78-B78)&lt;=0.000001*MAX(1,ABS(B78))),EXACT(C78&amp;"",B78&amp;"")))</f>
      </c>
      <c r="E78">
        <f>ISERROR(C78)</f>
      </c>
    </row>
    <row r="79">
      <c r="A79" t="str">
        <v>M7</v>
      </c>
      <c r="B79">
        <v>339.3</v>
      </c>
      <c r="C79">
        <f>'dientu'!M7</f>
      </c>
      <c r="D79">
        <f>IF(ISERROR(C79),LEFT(B79&amp;"",1)="#",IF(ISNUMBER(C79),AND(ISNUMBER(B79),ABS(C79-B79)&lt;=0.000001*MAX(1,ABS(B79))),EXACT(C79&amp;"",B79&amp;"")))</f>
      </c>
      <c r="E79">
        <f>ISERROR(C79)</f>
      </c>
    </row>
    <row r="80">
      <c r="A80" t="str">
        <v>M8</v>
      </c>
      <c r="B80">
        <v>2399.4</v>
      </c>
      <c r="C80">
        <f>'dientu'!M8</f>
      </c>
      <c r="D80">
        <f>IF(ISERROR(C80),LEFT(B80&amp;"",1)="#",IF(ISNUMBER(C80),AND(ISNUMBER(B80),ABS(C80-B80)&lt;=0.000001*MAX(1,ABS(B80))),EXACT(C80&amp;"",B80&amp;"")))</f>
      </c>
      <c r="E80">
        <f>ISERROR(C80)</f>
      </c>
    </row>
    <row r="81">
      <c r="A81" t="str">
        <v>M9</v>
      </c>
      <c r="B81">
        <v>723.4</v>
      </c>
      <c r="C81">
        <f>'dientu'!M9</f>
      </c>
      <c r="D81">
        <f>IF(ISERROR(C81),LEFT(B81&amp;"",1)="#",IF(ISNUMBER(C81),AND(ISNUMBER(B81),ABS(C81-B81)&lt;=0.000001*MAX(1,ABS(B81))),EXACT(C81&amp;"",B81&amp;"")))</f>
      </c>
      <c r="E81">
        <f>ISERROR(C81)</f>
      </c>
    </row>
    <row r="82">
      <c r="A82" t="str">
        <v>M10</v>
      </c>
      <c r="B82">
        <v>734.1</v>
      </c>
      <c r="C82">
        <f>'dientu'!M10</f>
      </c>
      <c r="D82">
        <f>IF(ISERROR(C82),LEFT(B82&amp;"",1)="#",IF(ISNUMBER(C82),AND(ISNUMBER(B82),ABS(C82-B82)&lt;=0.000001*MAX(1,ABS(B82))),EXACT(C82&amp;"",B82&amp;"")))</f>
      </c>
      <c r="E82">
        <f>ISERROR(C82)</f>
      </c>
    </row>
    <row r="83">
      <c r="A83" t="str">
        <v>M11</v>
      </c>
      <c r="B83">
        <v>3558.8</v>
      </c>
      <c r="C83">
        <f>'dientu'!M11</f>
      </c>
      <c r="D83">
        <f>IF(ISERROR(C83),LEFT(B83&amp;"",1)="#",IF(ISNUMBER(C83),AND(ISNUMBER(B83),ABS(C83-B83)&lt;=0.000001*MAX(1,ABS(B83))),EXACT(C83&amp;"",B83&amp;"")))</f>
      </c>
      <c r="E83">
        <f>ISERROR(C83)</f>
      </c>
    </row>
    <row r="84">
      <c r="A84" t="str">
        <v>M12</v>
      </c>
      <c r="B84">
        <v>503.3</v>
      </c>
      <c r="C84">
        <f>'dientu'!M12</f>
      </c>
      <c r="D84">
        <f>IF(ISERROR(C84),LEFT(B84&amp;"",1)="#",IF(ISNUMBER(C84),AND(ISNUMBER(B84),ABS(C84-B84)&lt;=0.000001*MAX(1,ABS(B84))),EXACT(C84&amp;"",B84&amp;"")))</f>
      </c>
      <c r="E84">
        <f>ISERROR(C84)</f>
      </c>
    </row>
    <row r="85">
      <c r="A85" t="str">
        <v>M13</v>
      </c>
      <c r="B85">
        <v>1073</v>
      </c>
      <c r="C85">
        <f>'dientu'!M13</f>
      </c>
      <c r="D85">
        <f>IF(ISERROR(C85),LEFT(B85&amp;"",1)="#",IF(ISNUMBER(C85),AND(ISNUMBER(B85),ABS(C85-B85)&lt;=0.000001*MAX(1,ABS(B85))),EXACT(C85&amp;"",B85&amp;"")))</f>
      </c>
      <c r="E85">
        <f>ISERROR(C85)</f>
      </c>
    </row>
    <row r="86">
      <c r="A86" t="str">
        <v>N2</v>
      </c>
      <c r="B86" t="str">
        <v>AN TOAN</v>
      </c>
      <c r="C86">
        <f>'dientu'!N2</f>
      </c>
      <c r="D86">
        <f>IF(ISERROR(C86),LEFT(B86&amp;"",1)="#",IF(ISNUMBER(C86),AND(ISNUMBER(B86),ABS(C86-B86)&lt;=0.000001*MAX(1,ABS(B86))),EXACT(C86&amp;"",B86&amp;"")))</f>
      </c>
      <c r="E86">
        <f>ISERROR(C86)</f>
      </c>
    </row>
    <row r="87">
      <c r="A87" t="str">
        <v>N3</v>
      </c>
      <c r="B87" t="str">
        <v>QUA TAI</v>
      </c>
      <c r="C87">
        <f>'dientu'!N3</f>
      </c>
      <c r="D87">
        <f>IF(ISERROR(C87),LEFT(B87&amp;"",1)="#",IF(ISNUMBER(C87),AND(ISNUMBER(B87),ABS(C87-B87)&lt;=0.000001*MAX(1,ABS(B87))),EXACT(C87&amp;"",B87&amp;"")))</f>
      </c>
      <c r="E87">
        <f>ISERROR(C87)</f>
      </c>
    </row>
    <row r="88">
      <c r="A88" t="str">
        <v>N4</v>
      </c>
      <c r="B88" t="str">
        <v>QUA TAI</v>
      </c>
      <c r="C88">
        <f>'dientu'!N4</f>
      </c>
      <c r="D88">
        <f>IF(ISERROR(C88),LEFT(B88&amp;"",1)="#",IF(ISNUMBER(C88),AND(ISNUMBER(B88),ABS(C88-B88)&lt;=0.000001*MAX(1,ABS(B88))),EXACT(C88&amp;"",B88&amp;"")))</f>
      </c>
      <c r="E88">
        <f>ISERROR(C88)</f>
      </c>
    </row>
    <row r="89">
      <c r="A89" t="str">
        <v>N5</v>
      </c>
      <c r="B89" t="str">
        <v>AN TOAN</v>
      </c>
      <c r="C89">
        <f>'dientu'!N5</f>
      </c>
      <c r="D89">
        <f>IF(ISERROR(C89),LEFT(B89&amp;"",1)="#",IF(ISNUMBER(C89),AND(ISNUMBER(B89),ABS(C89-B89)&lt;=0.000001*MAX(1,ABS(B89))),EXACT(C89&amp;"",B89&amp;"")))</f>
      </c>
      <c r="E89">
        <f>ISERROR(C89)</f>
      </c>
    </row>
    <row r="90">
      <c r="A90" t="str">
        <v>N6</v>
      </c>
      <c r="B90" t="str">
        <v>AN TOAN</v>
      </c>
      <c r="C90">
        <f>'dientu'!N6</f>
      </c>
      <c r="D90">
        <f>IF(ISERROR(C90),LEFT(B90&amp;"",1)="#",IF(ISNUMBER(C90),AND(ISNUMBER(B90),ABS(C90-B90)&lt;=0.000001*MAX(1,ABS(B90))),EXACT(C90&amp;"",B90&amp;"")))</f>
      </c>
      <c r="E90">
        <f>ISERROR(C90)</f>
      </c>
    </row>
    <row r="91">
      <c r="A91" t="str">
        <v>N7</v>
      </c>
      <c r="B91" t="str">
        <v>AN TOAN</v>
      </c>
      <c r="C91">
        <f>'dientu'!N7</f>
      </c>
      <c r="D91">
        <f>IF(ISERROR(C91),LEFT(B91&amp;"",1)="#",IF(ISNUMBER(C91),AND(ISNUMBER(B91),ABS(C91-B91)&lt;=0.000001*MAX(1,ABS(B91))),EXACT(C91&amp;"",B91&amp;"")))</f>
      </c>
      <c r="E91">
        <f>ISERROR(C91)</f>
      </c>
    </row>
    <row r="92">
      <c r="A92" t="str">
        <v>N8</v>
      </c>
      <c r="B92" t="str">
        <v>QUA TAI</v>
      </c>
      <c r="C92">
        <f>'dientu'!N8</f>
      </c>
      <c r="D92">
        <f>IF(ISERROR(C92),LEFT(B92&amp;"",1)="#",IF(ISNUMBER(C92),AND(ISNUMBER(B92),ABS(C92-B92)&lt;=0.000001*MAX(1,ABS(B92))),EXACT(C92&amp;"",B92&amp;"")))</f>
      </c>
      <c r="E92">
        <f>ISERROR(C92)</f>
      </c>
    </row>
    <row r="93">
      <c r="A93" t="str">
        <v>N9</v>
      </c>
      <c r="B93" t="str">
        <v>AN TOAN</v>
      </c>
      <c r="C93">
        <f>'dientu'!N9</f>
      </c>
      <c r="D93">
        <f>IF(ISERROR(C93),LEFT(B93&amp;"",1)="#",IF(ISNUMBER(C93),AND(ISNUMBER(B93),ABS(C93-B93)&lt;=0.000001*MAX(1,ABS(B93))),EXACT(C93&amp;"",B93&amp;"")))</f>
      </c>
      <c r="E93">
        <f>ISERROR(C93)</f>
      </c>
    </row>
    <row r="94">
      <c r="A94" t="str">
        <v>N10</v>
      </c>
      <c r="B94" t="str">
        <v>AN TOAN</v>
      </c>
      <c r="C94">
        <f>'dientu'!N10</f>
      </c>
      <c r="D94">
        <f>IF(ISERROR(C94),LEFT(B94&amp;"",1)="#",IF(ISNUMBER(C94),AND(ISNUMBER(B94),ABS(C94-B94)&lt;=0.000001*MAX(1,ABS(B94))),EXACT(C94&amp;"",B94&amp;"")))</f>
      </c>
      <c r="E94">
        <f>ISERROR(C94)</f>
      </c>
    </row>
    <row r="95">
      <c r="A95" t="str">
        <v>N11</v>
      </c>
      <c r="B95" t="str">
        <v>AN TOAN</v>
      </c>
      <c r="C95">
        <f>'dientu'!N11</f>
      </c>
      <c r="D95">
        <f>IF(ISERROR(C95),LEFT(B95&amp;"",1)="#",IF(ISNUMBER(C95),AND(ISNUMBER(B95),ABS(C95-B95)&lt;=0.000001*MAX(1,ABS(B95))),EXACT(C95&amp;"",B95&amp;"")))</f>
      </c>
      <c r="E95">
        <f>ISERROR(C95)</f>
      </c>
    </row>
    <row r="96">
      <c r="A96" t="str">
        <v>N12</v>
      </c>
      <c r="B96" t="str">
        <v>AN TOAN</v>
      </c>
      <c r="C96">
        <f>'dientu'!N12</f>
      </c>
      <c r="D96">
        <f>IF(ISERROR(C96),LEFT(B96&amp;"",1)="#",IF(ISNUMBER(C96),AND(ISNUMBER(B96),ABS(C96-B96)&lt;=0.000001*MAX(1,ABS(B96))),EXACT(C96&amp;"",B96&amp;"")))</f>
      </c>
      <c r="E96">
        <f>ISERROR(C96)</f>
      </c>
    </row>
    <row r="97">
      <c r="A97" t="str">
        <v>N13</v>
      </c>
      <c r="B97" t="str">
        <v>AN TOAN</v>
      </c>
      <c r="C97">
        <f>'dientu'!N13</f>
      </c>
      <c r="D97">
        <f>IF(ISERROR(C97),LEFT(B97&amp;"",1)="#",IF(ISNUMBER(C97),AND(ISNUMBER(B97),ABS(C97-B97)&lt;=0.000001*MAX(1,ABS(B97))),EXACT(C97&amp;"",B97&amp;"")))</f>
      </c>
      <c r="E97">
        <f>ISERROR(C97)</f>
      </c>
    </row>
    <row r="98">
      <c r="A98" t="str">
        <v>Z2</v>
      </c>
      <c r="B98" t="str">
        <v>SS02</v>
      </c>
      <c r="C98">
        <f>'dientu'!Z2</f>
      </c>
      <c r="D98">
        <f>IF(ISERROR(C98),LEFT(B98&amp;"",1)="#",IF(ISNUMBER(C98),AND(ISNUMBER(B98),ABS(C98-B98)&lt;=0.000001*MAX(1,ABS(B98))),EXACT(C98&amp;"",B98&amp;"")))</f>
      </c>
      <c r="E98">
        <f>ISERROR(C98)</f>
      </c>
    </row>
    <row r="99">
      <c r="A99" t="str">
        <v>Z3</v>
      </c>
      <c r="B99">
        <v>11.642</v>
      </c>
      <c r="C99">
        <f>'dientu'!Z3</f>
      </c>
      <c r="D99">
        <f>IF(ISERROR(C99),LEFT(B99&amp;"",1)="#",IF(ISNUMBER(C99),AND(ISNUMBER(B99),ABS(C99-B99)&lt;=0.000001*MAX(1,ABS(B99))),EXACT(C99&amp;"",B99&amp;"")))</f>
      </c>
      <c r="E99">
        <f>ISERROR(C99)</f>
      </c>
    </row>
    <row r="100">
      <c r="A100" t="str">
        <v>Z4</v>
      </c>
      <c r="B100">
        <v>8</v>
      </c>
      <c r="C100">
        <f>'dientu'!Z4</f>
      </c>
      <c r="D100">
        <f>IF(ISERROR(C100),LEFT(B100&amp;"",1)="#",IF(ISNUMBER(C100),AND(ISNUMBER(B100),ABS(C100-B100)&lt;=0.000001*MAX(1,ABS(B100))),EXACT(C100&amp;"",B100&amp;"")))</f>
      </c>
      <c r="E100">
        <f>ISERROR(C100)</f>
      </c>
    </row>
    <row r="101">
      <c r="A101" t="str">
        <v>Z5</v>
      </c>
      <c r="B101">
        <v>133.1825</v>
      </c>
      <c r="C101">
        <f>'dientu'!Z5</f>
      </c>
      <c r="D101">
        <f>IF(ISERROR(C101),LEFT(B101&amp;"",1)="#",IF(ISNUMBER(C101),AND(ISNUMBER(B101),ABS(C101-B101)&lt;=0.000001*MAX(1,ABS(B101))),EXACT(C101&amp;"",B101&amp;"")))</f>
      </c>
      <c r="E101">
        <f>ISERROR(C101)</f>
      </c>
    </row>
    <row r="102">
      <c r="A102" t="str">
        <v>Z6</v>
      </c>
      <c r="B102">
        <v>5032.9</v>
      </c>
      <c r="C102">
        <f>'dientu'!Z6</f>
      </c>
      <c r="D102">
        <f>IF(ISERROR(C102),LEFT(B102&amp;"",1)="#",IF(ISNUMBER(C102),AND(ISNUMBER(B102),ABS(C102-B102)&lt;=0.000001*MAX(1,ABS(B102))),EXACT(C102&amp;"",B102&amp;"")))</f>
      </c>
      <c r="E102">
        <f>ISERROR(C102)</f>
      </c>
    </row>
    <row r="103">
      <c r="A103" t="str">
        <v>Z7</v>
      </c>
      <c r="B103">
        <v>0.1315</v>
      </c>
      <c r="C103">
        <f>'dientu'!Z7</f>
      </c>
      <c r="D103">
        <f>IF(ISERROR(C103),LEFT(B103&amp;"",1)="#",IF(ISNUMBER(C103),AND(ISNUMBER(B103),ABS(C103-B103)&lt;=0.000001*MAX(1,ABS(B103))),EXACT(C103&amp;"",B103&amp;"")))</f>
      </c>
      <c r="E103">
        <f>ISERROR(C103)</f>
      </c>
    </row>
    <row r="104">
      <c r="A104" t="str">
        <v>Z8</v>
      </c>
      <c r="B104">
        <v>123.4</v>
      </c>
      <c r="C104">
        <f>'dientu'!Z8</f>
      </c>
      <c r="D104">
        <f>IF(ISERROR(C104),LEFT(B104&amp;"",1)="#",IF(ISNUMBER(C104),AND(ISNUMBER(B104),ABS(C104-B104)&lt;=0.000001*MAX(1,ABS(B104))),EXACT(C104&amp;"",B104&amp;"")))</f>
      </c>
      <c r="E104">
        <f>ISERROR(C104)</f>
      </c>
    </row>
    <row r="105">
      <c r="A105" t="str">
        <v>Z9</v>
      </c>
      <c r="B105">
        <v>611.88</v>
      </c>
      <c r="C105">
        <f>'dientu'!Z9</f>
      </c>
      <c r="D105">
        <f>IF(ISERROR(C105),LEFT(B105&amp;"",1)="#",IF(ISNUMBER(C105),AND(ISNUMBER(B105),ABS(C105-B105)&lt;=0.000001*MAX(1,ABS(B105))),EXACT(C105&amp;"",B105&amp;"")))</f>
      </c>
      <c r="E105">
        <f>ISERROR(C105)</f>
      </c>
    </row>
    <row r="106">
      <c r="A106" t="str">
        <v>Z10</v>
      </c>
      <c r="B106">
        <v>11.642</v>
      </c>
      <c r="C106">
        <f>'dientu'!Z10</f>
      </c>
      <c r="D106">
        <f>IF(ISERROR(C106),LEFT(B106&amp;"",1)="#",IF(ISNUMBER(C106),AND(ISNUMBER(B106),ABS(C106-B106)&lt;=0.000001*MAX(1,ABS(B106))),EXACT(C106&amp;"",B106&amp;"")))</f>
      </c>
      <c r="E106">
        <f>ISERROR(C106)</f>
      </c>
    </row>
    <row r="107">
      <c r="A107" t="str">
        <v>Z11</v>
      </c>
      <c r="B107">
        <v>4</v>
      </c>
      <c r="C107">
        <f>'dientu'!Z11</f>
      </c>
      <c r="D107">
        <f>IF(ISERROR(C107),LEFT(B107&amp;"",1)="#",IF(ISNUMBER(C107),AND(ISNUMBER(B107),ABS(C107-B107)&lt;=0.000001*MAX(1,ABS(B107))),EXACT(C107&amp;"",B107&amp;"")))</f>
      </c>
      <c r="E107">
        <f>ISERROR(C107)</f>
      </c>
    </row>
    <row r="108">
      <c r="A108" t="str">
        <v>Z12</v>
      </c>
      <c r="B108">
        <v>11.341</v>
      </c>
      <c r="C108">
        <f>'dientu'!Z12</f>
      </c>
      <c r="D108">
        <f>IF(ISERROR(C108),LEFT(B108&amp;"",1)="#",IF(ISNUMBER(C108),AND(ISNUMBER(B108),ABS(C108-B108)&lt;=0.000001*MAX(1,ABS(B108))),EXACT(C108&amp;"",B108&amp;"")))</f>
      </c>
      <c r="E108">
        <f>ISERROR(C108)</f>
      </c>
    </row>
    <row r="109">
      <c r="A109" t="str">
        <v>Z13</v>
      </c>
      <c r="B109">
        <v>8</v>
      </c>
      <c r="C109">
        <f>'dientu'!Z13</f>
      </c>
      <c r="D109">
        <f>IF(ISERROR(C109),LEFT(B109&amp;"",1)="#",IF(ISNUMBER(C109),AND(ISNUMBER(B109),ABS(C109-B109)&lt;=0.000001*MAX(1,ABS(B109))),EXACT(C109&amp;"",B109&amp;"")))</f>
      </c>
      <c r="E109">
        <f>ISERROR(C109)</f>
      </c>
    </row>
  </sheetData>
  <ignoredErrors>
    <ignoredError numberStoredAsText="1" sqref="A1:E109"/>
  </ignoredErrors>
</worksheet>
</file>

<file path=xl/worksheets/sheet74.xml><?xml version="1.0" encoding="utf-8"?>
<worksheet xmlns="http://schemas.openxmlformats.org/spreadsheetml/2006/main" xmlns:r="http://schemas.openxmlformats.org/officeDocument/2006/relationships">
  <dimension ref="A1:U13"/>
  <sheetViews>
    <sheetView workbookViewId="0" rightToLeft="0"/>
  </sheetViews>
  <cols>
    <col min="1" max="1" width="8.83203125" customWidth="1"/>
    <col min="2" max="2" width="22.83203125" customWidth="1"/>
    <col min="3" max="3" width="7.83203125" customWidth="1"/>
    <col min="4" max="4" width="9.83203125" customWidth="1"/>
    <col min="5" max="5" width="9.83203125" customWidth="1"/>
    <col min="6" max="6" width="12.83203125" customWidth="1"/>
    <col min="7" max="7" width="20.83203125" customWidth="1"/>
    <col min="8" max="8" width="18.83203125" customWidth="1"/>
    <col min="9" max="9" width="10.83203125" customWidth="1"/>
    <col min="10" max="10" width="12.83203125" customWidth="1"/>
    <col min="11" max="11" width="10.83203125" customWidth="1"/>
    <col min="12" max="12" width="2.83203125" customWidth="1"/>
    <col min="13" max="13" width="2.83203125" customWidth="1"/>
    <col min="14" max="14" width="9.83203125" customWidth="1"/>
    <col min="15" max="15" width="18.83203125" customWidth="1"/>
    <col min="16" max="16" width="10.83203125" customWidth="1"/>
    <col min="17" max="17" width="12.83203125" customWidth="1"/>
    <col min="18" max="18" width="2.83203125" customWidth="1"/>
    <col min="19" max="19" width="2.83203125" customWidth="1"/>
    <col min="20" max="20" width="38.83203125" customWidth="1"/>
    <col min="21" max="21" width="12.83203125" customWidth="1"/>
  </cols>
  <sheetData>
    <row r="1">
      <c r="A1" t="str">
        <v>Ma</v>
      </c>
      <c r="B1" t="str">
        <v>Ten</v>
      </c>
      <c r="C1" t="str">
        <v>Loai</v>
      </c>
      <c r="D1" t="str">
        <v>DonGia</v>
      </c>
      <c r="E1" t="str">
        <v>SoLuong</v>
      </c>
      <c r="F1" t="str">
        <v>NgayNhap</v>
      </c>
      <c r="G1" t="str">
        <v>TenChuan</v>
      </c>
      <c r="H1" t="str">
        <v>TenLoai</v>
      </c>
      <c r="I1" t="str">
        <v>NgayTon</v>
      </c>
      <c r="J1" t="str">
        <v>ThanhTien</v>
      </c>
      <c r="K1" t="str">
        <v>PhanLoai</v>
      </c>
      <c r="N1" t="str">
        <v>MaLoai</v>
      </c>
      <c r="O1" t="str">
        <v>TenLoai</v>
      </c>
      <c r="P1" t="str">
        <v>NgayCham</v>
      </c>
      <c r="Q1" s="1">
        <v>46311</v>
      </c>
      <c r="S1" t="str">
        <v>Loai</v>
      </c>
      <c r="T1" t="str">
        <v>TongHop</v>
      </c>
      <c r="U1" t="str">
        <v>KetQua</v>
      </c>
    </row>
    <row r="2">
      <c r="A2" t="str">
        <v>SP01</v>
      </c>
      <c r="B2" t="str">
        <v>GHIM BAM SO 10</v>
      </c>
      <c r="C2" t="str">
        <v>VT</v>
      </c>
      <c r="D2">
        <v>8000</v>
      </c>
      <c r="E2">
        <v>24</v>
      </c>
      <c r="F2" s="1">
        <v>46285</v>
      </c>
      <c r="G2" t="str">
        <f>PROPER(TRIM(B2))</f>
        <v>Ghim Bam So 10</v>
      </c>
      <c r="H2" t="str">
        <f>VLOOKUP(C2,$N$2:$O$4,2,FALSE)</f>
        <v>Van phong pham</v>
      </c>
      <c r="I2">
        <f>$Q$1-F2</f>
        <v>26</v>
      </c>
      <c r="J2">
        <f>ROUND(IF(E2&gt;=10,D2*E2*0.9,D2*E2),0)</f>
        <v>172800</v>
      </c>
      <c r="K2" t="str">
        <f>IF(J2&gt;=150000,"CAO",IF(J2&gt;=60000,"TB","THAP"))</f>
        <v>CAO</v>
      </c>
      <c r="N2" t="str">
        <v>VT</v>
      </c>
      <c r="O2" t="str">
        <v>Van phong pham</v>
      </c>
      <c r="S2" t="str">
        <v>VT</v>
      </c>
      <c r="T2" t="str">
        <v>Ma hang co ThanhTien lon nhat</v>
      </c>
      <c r="U2" t="str">
        <f>INDEX(A2:A13,MATCH(MAX(J2:J13),J2:J13,0))</f>
        <v>SP12</v>
      </c>
    </row>
    <row r="3">
      <c r="A3" t="str">
        <v>SP02</v>
      </c>
      <c r="B3" t="str">
        <v xml:space="preserve">  vo ke ngang </v>
      </c>
      <c r="C3" t="str">
        <v>DC</v>
      </c>
      <c r="D3">
        <v>8000</v>
      </c>
      <c r="E3">
        <v>4</v>
      </c>
      <c r="F3" s="1">
        <v>46285</v>
      </c>
      <c r="G3" t="str">
        <f>PROPER(TRIM(B3))</f>
        <v>Vo Ke Ngang</v>
      </c>
      <c r="H3" t="str">
        <f>VLOOKUP(C3,$N$2:$O$4,2,FALSE)</f>
        <v>Dung cu hoc tap</v>
      </c>
      <c r="I3">
        <f>$Q$1-F3</f>
        <v>26</v>
      </c>
      <c r="J3">
        <f>ROUND(IF(E3&gt;=10,D3*E3*0.9,D3*E3),0)</f>
        <v>32000</v>
      </c>
      <c r="K3" t="str">
        <f>IF(J3&gt;=150000,"CAO",IF(J3&gt;=60000,"TB","THAP"))</f>
        <v>THAP</v>
      </c>
      <c r="N3" t="str">
        <v>DC</v>
      </c>
      <c r="O3" t="str">
        <v>Dung cu hoc tap</v>
      </c>
      <c r="T3" t="str">
        <v>Tong ThanhTien nhom VT</v>
      </c>
      <c r="U3">
        <f>SUMIF(C2:C13,"VT",J2:J13)</f>
        <v>370800</v>
      </c>
    </row>
    <row r="4">
      <c r="A4" t="str">
        <v>SP03</v>
      </c>
      <c r="B4" t="str">
        <v>giay a4 70gsm</v>
      </c>
      <c r="C4" t="str">
        <v>TB</v>
      </c>
      <c r="D4">
        <v>22000</v>
      </c>
      <c r="E4">
        <v>25</v>
      </c>
      <c r="F4" s="1">
        <v>46299</v>
      </c>
      <c r="G4" t="str">
        <f>PROPER(TRIM(B4))</f>
        <v>Giay A4 70Gsm</v>
      </c>
      <c r="H4" t="str">
        <f>VLOOKUP(C4,$N$2:$O$4,2,FALSE)</f>
        <v>Thiet bi nho</v>
      </c>
      <c r="I4">
        <f>$Q$1-F4</f>
        <v>12</v>
      </c>
      <c r="J4">
        <f>ROUND(IF(E4&gt;=10,D4*E4*0.9,D4*E4),0)</f>
        <v>495000</v>
      </c>
      <c r="K4" t="str">
        <f>IF(J4&gt;=150000,"CAO",IF(J4&gt;=60000,"TB","THAP"))</f>
        <v>CAO</v>
      </c>
      <c r="N4" t="str">
        <v>TB</v>
      </c>
      <c r="O4" t="str">
        <v>Thiet bi nho</v>
      </c>
      <c r="T4" t="str">
        <v>So mat hang SoLuong &gt;= 10</v>
      </c>
      <c r="U4">
        <f>COUNTIF(E2:E13,"&gt;=10")</f>
        <v>9</v>
      </c>
    </row>
    <row r="5">
      <c r="A5" t="str">
        <v>SP04</v>
      </c>
      <c r="B5" t="str">
        <v>but xoa keo</v>
      </c>
      <c r="C5" t="str">
        <v>TB</v>
      </c>
      <c r="D5">
        <v>13000</v>
      </c>
      <c r="E5">
        <v>21</v>
      </c>
      <c r="F5" s="1">
        <v>46303</v>
      </c>
      <c r="G5" t="str">
        <f>PROPER(TRIM(B5))</f>
        <v>But Xoa Keo</v>
      </c>
      <c r="H5" t="str">
        <f>VLOOKUP(C5,$N$2:$O$4,2,FALSE)</f>
        <v>Thiet bi nho</v>
      </c>
      <c r="I5">
        <f>$Q$1-F5</f>
        <v>8</v>
      </c>
      <c r="J5">
        <f>ROUND(IF(E5&gt;=10,D5*E5*0.9,D5*E5),0)</f>
        <v>245700</v>
      </c>
      <c r="K5" t="str">
        <f>IF(J5&gt;=150000,"CAO",IF(J5&gt;=60000,"TB","THAP"))</f>
        <v>CAO</v>
      </c>
      <c r="T5" t="str">
        <v>Don gia trung binh nhom DC</v>
      </c>
      <c r="U5">
        <f>AVERAGEIF(C2:C13,"DC",D2:D13)</f>
        <v>9500</v>
      </c>
    </row>
    <row r="6">
      <c r="A6" t="str">
        <v>SP05</v>
      </c>
      <c r="B6" t="str">
        <v>HOP BUT</v>
      </c>
      <c r="C6" t="str">
        <v>DC</v>
      </c>
      <c r="D6">
        <v>3000</v>
      </c>
      <c r="E6">
        <v>10</v>
      </c>
      <c r="F6" s="1">
        <v>46291</v>
      </c>
      <c r="G6" t="str">
        <f>PROPER(TRIM(B6))</f>
        <v>Hop But</v>
      </c>
      <c r="H6" t="str">
        <f>VLOOKUP(C6,$N$2:$O$4,2,FALSE)</f>
        <v>Dung cu hoc tap</v>
      </c>
      <c r="I6">
        <f>$Q$1-F6</f>
        <v>20</v>
      </c>
      <c r="J6">
        <f>ROUND(IF(E6&gt;=10,D6*E6*0.9,D6*E6),0)</f>
        <v>27000</v>
      </c>
      <c r="K6" t="str">
        <f>IF(J6&gt;=150000,"CAO",IF(J6&gt;=60000,"TB","THAP"))</f>
        <v>THAP</v>
      </c>
      <c r="T6" t="str">
        <v>Tong ThanhTien nhom DC, SoLuong &lt; 10</v>
      </c>
      <c r="U6">
        <f>SUMIFS(J2:J13,C2:C13,"DC",E2:E13,"&lt;10")</f>
        <v>32000</v>
      </c>
    </row>
    <row r="7">
      <c r="A7" t="str">
        <v>SP06</v>
      </c>
      <c r="B7" t="str">
        <v>BANG KEO TRONG</v>
      </c>
      <c r="C7" t="str">
        <v>TB</v>
      </c>
      <c r="D7">
        <v>11000</v>
      </c>
      <c r="E7">
        <v>11</v>
      </c>
      <c r="F7" s="1">
        <v>46280</v>
      </c>
      <c r="G7" t="str">
        <f>PROPER(TRIM(B7))</f>
        <v>Bang Keo Trong</v>
      </c>
      <c r="H7" t="str">
        <f>VLOOKUP(C7,$N$2:$O$4,2,FALSE)</f>
        <v>Thiet bi nho</v>
      </c>
      <c r="I7">
        <f>$Q$1-F7</f>
        <v>31</v>
      </c>
      <c r="J7">
        <f>ROUND(IF(E7&gt;=10,D7*E7*0.9,D7*E7),0)</f>
        <v>108900</v>
      </c>
      <c r="K7" t="str">
        <f>IF(J7&gt;=150000,"CAO",IF(J7&gt;=60000,"TB","THAP"))</f>
        <v>TB</v>
      </c>
      <c r="T7" t="str">
        <v>So mat hang nhom VT, SoLuong &gt;= 10</v>
      </c>
      <c r="U7">
        <f>COUNTIFS(C2:C13,"VT",E2:E13,"&gt;=10")</f>
        <v>2</v>
      </c>
    </row>
    <row r="8">
      <c r="A8" t="str">
        <v>SP07</v>
      </c>
      <c r="B8" t="str">
        <v>SO TAY BIA DA</v>
      </c>
      <c r="C8" t="str">
        <v>DC</v>
      </c>
      <c r="D8">
        <v>19000</v>
      </c>
      <c r="E8">
        <v>19</v>
      </c>
      <c r="F8" s="1">
        <v>46280</v>
      </c>
      <c r="G8" t="str">
        <f>PROPER(TRIM(B8))</f>
        <v>So Tay Bia Da</v>
      </c>
      <c r="H8" t="str">
        <f>VLOOKUP(C8,$N$2:$O$4,2,FALSE)</f>
        <v>Dung cu hoc tap</v>
      </c>
      <c r="I8">
        <f>$Q$1-F8</f>
        <v>31</v>
      </c>
      <c r="J8">
        <f>ROUND(IF(E8&gt;=10,D8*E8*0.9,D8*E8),0)</f>
        <v>324900</v>
      </c>
      <c r="K8" t="str">
        <f>IF(J8&gt;=150000,"CAO",IF(J8&gt;=60000,"TB","THAP"))</f>
        <v>CAO</v>
      </c>
      <c r="T8" t="str">
        <v>Tong SoLuong theo tieu chi S1:S2</v>
      </c>
      <c r="U8">
        <f>DSUM(A1:K13,"SoLuong",S1:S2)</f>
        <v>44</v>
      </c>
    </row>
    <row r="9">
      <c r="A9" t="str">
        <v>SP08</v>
      </c>
      <c r="B9" t="str">
        <v>phong bi a5</v>
      </c>
      <c r="C9" t="str">
        <v>DC</v>
      </c>
      <c r="D9">
        <v>8000</v>
      </c>
      <c r="E9">
        <v>17</v>
      </c>
      <c r="F9" s="1">
        <v>46266</v>
      </c>
      <c r="G9" t="str">
        <f>PROPER(TRIM(B9))</f>
        <v>Phong Bi A5</v>
      </c>
      <c r="H9" t="str">
        <f>VLOOKUP(C9,$N$2:$O$4,2,FALSE)</f>
        <v>Dung cu hoc tap</v>
      </c>
      <c r="I9">
        <f>$Q$1-F9</f>
        <v>45</v>
      </c>
      <c r="J9">
        <f>ROUND(IF(E9&gt;=10,D9*E9*0.9,D9*E9),0)</f>
        <v>122400</v>
      </c>
      <c r="K9" t="str">
        <f>IF(J9&gt;=150000,"CAO",IF(J9&gt;=60000,"TB","THAP"))</f>
        <v>TB</v>
      </c>
      <c r="T9" t="str">
        <v>Don gia TB theo tieu chi S1:S2</v>
      </c>
      <c r="U9">
        <f>DAVERAGE(A1:K13,"DonGia",S1:S2)</f>
        <v>9500</v>
      </c>
    </row>
    <row r="10">
      <c r="A10" t="str">
        <v>SP09</v>
      </c>
      <c r="B10" t="str">
        <v xml:space="preserve">  bang dinh hai mat </v>
      </c>
      <c r="C10" t="str">
        <v>TB</v>
      </c>
      <c r="D10">
        <v>12000</v>
      </c>
      <c r="E10">
        <v>6</v>
      </c>
      <c r="F10" s="1">
        <v>46295</v>
      </c>
      <c r="G10" t="str">
        <f>PROPER(TRIM(B10))</f>
        <v>Bang Dinh Hai Mat</v>
      </c>
      <c r="H10" t="str">
        <f>VLOOKUP(C10,$N$2:$O$4,2,FALSE)</f>
        <v>Thiet bi nho</v>
      </c>
      <c r="I10">
        <f>$Q$1-F10</f>
        <v>16</v>
      </c>
      <c r="J10">
        <f>ROUND(IF(E10&gt;=10,D10*E10*0.9,D10*E10),0)</f>
        <v>72000</v>
      </c>
      <c r="K10" t="str">
        <f>IF(J10&gt;=150000,"CAO",IF(J10&gt;=60000,"TB","THAP"))</f>
        <v>TB</v>
      </c>
      <c r="T10" t="str">
        <v>Tong tien hang chua giam (cong thuc tich)</v>
      </c>
      <c r="U10">
        <f>SUMPRODUCT(D2:D13,E2:E13)</f>
        <v>2649000</v>
      </c>
    </row>
    <row r="11">
      <c r="A11" t="str">
        <v>SP10</v>
      </c>
      <c r="B11" t="str">
        <v>kep giay 32mm</v>
      </c>
      <c r="C11" t="str">
        <v>TB</v>
      </c>
      <c r="D11">
        <v>6000</v>
      </c>
      <c r="E11">
        <v>3</v>
      </c>
      <c r="F11" s="1">
        <v>46273</v>
      </c>
      <c r="G11" t="str">
        <f>PROPER(TRIM(B11))</f>
        <v>Kep Giay 32Mm</v>
      </c>
      <c r="H11" t="str">
        <f>VLOOKUP(C11,$N$2:$O$4,2,FALSE)</f>
        <v>Thiet bi nho</v>
      </c>
      <c r="I11">
        <f>$Q$1-F11</f>
        <v>38</v>
      </c>
      <c r="J11">
        <f>ROUND(IF(E11&gt;=10,D11*E11*0.9,D11*E11),0)</f>
        <v>18000</v>
      </c>
      <c r="K11" t="str">
        <f>IF(J11&gt;=150000,"CAO",IF(J11&gt;=60000,"TB","THAP"))</f>
        <v>THAP</v>
      </c>
      <c r="T11" t="str">
        <v>Tong DonGia cac dong SoLuong &gt;= 10</v>
      </c>
      <c r="U11">
        <f>SUMPRODUCT((E2:E13&gt;=10)*D2:D13)</f>
        <v>123000</v>
      </c>
    </row>
    <row r="12">
      <c r="A12" t="str">
        <v>SP11</v>
      </c>
      <c r="B12" t="str">
        <v>but long den</v>
      </c>
      <c r="C12" t="str">
        <v>VT</v>
      </c>
      <c r="D12">
        <v>11000</v>
      </c>
      <c r="E12">
        <v>20</v>
      </c>
      <c r="F12" s="1">
        <v>46269</v>
      </c>
      <c r="G12" t="str">
        <f>PROPER(TRIM(B12))</f>
        <v>But Long Den</v>
      </c>
      <c r="H12" t="str">
        <f>VLOOKUP(C12,$N$2:$O$4,2,FALSE)</f>
        <v>Van phong pham</v>
      </c>
      <c r="I12">
        <f>$Q$1-F12</f>
        <v>42</v>
      </c>
      <c r="J12">
        <f>ROUND(IF(E12&gt;=10,D12*E12*0.9,D12*E12),0)</f>
        <v>198000</v>
      </c>
      <c r="K12" t="str">
        <f>IF(J12&gt;=150000,"CAO",IF(J12&gt;=60000,"TB","THAP"))</f>
        <v>CAO</v>
      </c>
    </row>
    <row r="13">
      <c r="A13" t="str">
        <v>SP12</v>
      </c>
      <c r="B13" t="str">
        <v>keo cat giay</v>
      </c>
      <c r="C13" t="str">
        <v>TB</v>
      </c>
      <c r="D13">
        <v>28000</v>
      </c>
      <c r="E13">
        <v>23</v>
      </c>
      <c r="F13" s="1">
        <v>46299</v>
      </c>
      <c r="G13" t="str">
        <f>PROPER(TRIM(B13))</f>
        <v>Keo Cat Giay</v>
      </c>
      <c r="H13" t="str">
        <f>VLOOKUP(C13,$N$2:$O$4,2,FALSE)</f>
        <v>Thiet bi nho</v>
      </c>
      <c r="I13">
        <f>$Q$1-F13</f>
        <v>12</v>
      </c>
      <c r="J13">
        <f>ROUND(IF(E13&gt;=10,D13*E13*0.9,D13*E13),0)</f>
        <v>579600</v>
      </c>
      <c r="K13" t="str">
        <f>IF(J13&gt;=150000,"CAO",IF(J13&gt;=60000,"TB","THAP"))</f>
        <v>CAO</v>
      </c>
    </row>
  </sheetData>
  <ignoredErrors>
    <ignoredError numberStoredAsText="1" sqref="A1:U13"/>
  </ignoredErrors>
</worksheet>
</file>

<file path=xl/worksheets/sheet75.xml><?xml version="1.0" encoding="utf-8"?>
<worksheet xmlns="http://schemas.openxmlformats.org/spreadsheetml/2006/main" xmlns:r="http://schemas.openxmlformats.org/officeDocument/2006/relationships">
  <dimension ref="A1:E7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t="str">
        <v>Ghim Bam So 10</v>
      </c>
      <c r="C2">
        <f>'kho'!G2</f>
      </c>
      <c r="D2">
        <f>IF(ISERROR(C2),LEFT(B2&amp;"",1)="#",IF(ISNUMBER(C2),AND(ISNUMBER(B2),ABS(C2-B2)&lt;=0.000001*MAX(1,ABS(B2))),EXACT(C2&amp;"",B2&amp;"")))</f>
      </c>
      <c r="E2">
        <f>ISERROR(C2)</f>
      </c>
    </row>
    <row r="3">
      <c r="A3" t="str">
        <v>G3</v>
      </c>
      <c r="B3" t="str">
        <v>Vo Ke Ngang</v>
      </c>
      <c r="C3">
        <f>'kho'!G3</f>
      </c>
      <c r="D3">
        <f>IF(ISERROR(C3),LEFT(B3&amp;"",1)="#",IF(ISNUMBER(C3),AND(ISNUMBER(B3),ABS(C3-B3)&lt;=0.000001*MAX(1,ABS(B3))),EXACT(C3&amp;"",B3&amp;"")))</f>
      </c>
      <c r="E3">
        <f>ISERROR(C3)</f>
      </c>
    </row>
    <row r="4">
      <c r="A4" t="str">
        <v>G4</v>
      </c>
      <c r="B4" t="str">
        <v>Giay A4 70Gsm</v>
      </c>
      <c r="C4">
        <f>'kho'!G4</f>
      </c>
      <c r="D4">
        <f>IF(ISERROR(C4),LEFT(B4&amp;"",1)="#",IF(ISNUMBER(C4),AND(ISNUMBER(B4),ABS(C4-B4)&lt;=0.000001*MAX(1,ABS(B4))),EXACT(C4&amp;"",B4&amp;"")))</f>
      </c>
      <c r="E4">
        <f>ISERROR(C4)</f>
      </c>
    </row>
    <row r="5">
      <c r="A5" t="str">
        <v>G5</v>
      </c>
      <c r="B5" t="str">
        <v>But Xoa Keo</v>
      </c>
      <c r="C5">
        <f>'kho'!G5</f>
      </c>
      <c r="D5">
        <f>IF(ISERROR(C5),LEFT(B5&amp;"",1)="#",IF(ISNUMBER(C5),AND(ISNUMBER(B5),ABS(C5-B5)&lt;=0.000001*MAX(1,ABS(B5))),EXACT(C5&amp;"",B5&amp;"")))</f>
      </c>
      <c r="E5">
        <f>ISERROR(C5)</f>
      </c>
    </row>
    <row r="6">
      <c r="A6" t="str">
        <v>G6</v>
      </c>
      <c r="B6" t="str">
        <v>Hop But</v>
      </c>
      <c r="C6">
        <f>'kho'!G6</f>
      </c>
      <c r="D6">
        <f>IF(ISERROR(C6),LEFT(B6&amp;"",1)="#",IF(ISNUMBER(C6),AND(ISNUMBER(B6),ABS(C6-B6)&lt;=0.000001*MAX(1,ABS(B6))),EXACT(C6&amp;"",B6&amp;"")))</f>
      </c>
      <c r="E6">
        <f>ISERROR(C6)</f>
      </c>
    </row>
    <row r="7">
      <c r="A7" t="str">
        <v>G7</v>
      </c>
      <c r="B7" t="str">
        <v>Bang Keo Trong</v>
      </c>
      <c r="C7">
        <f>'kho'!G7</f>
      </c>
      <c r="D7">
        <f>IF(ISERROR(C7),LEFT(B7&amp;"",1)="#",IF(ISNUMBER(C7),AND(ISNUMBER(B7),ABS(C7-B7)&lt;=0.000001*MAX(1,ABS(B7))),EXACT(C7&amp;"",B7&amp;"")))</f>
      </c>
      <c r="E7">
        <f>ISERROR(C7)</f>
      </c>
    </row>
    <row r="8">
      <c r="A8" t="str">
        <v>G8</v>
      </c>
      <c r="B8" t="str">
        <v>So Tay Bia Da</v>
      </c>
      <c r="C8">
        <f>'kho'!G8</f>
      </c>
      <c r="D8">
        <f>IF(ISERROR(C8),LEFT(B8&amp;"",1)="#",IF(ISNUMBER(C8),AND(ISNUMBER(B8),ABS(C8-B8)&lt;=0.000001*MAX(1,ABS(B8))),EXACT(C8&amp;"",B8&amp;"")))</f>
      </c>
      <c r="E8">
        <f>ISERROR(C8)</f>
      </c>
    </row>
    <row r="9">
      <c r="A9" t="str">
        <v>G9</v>
      </c>
      <c r="B9" t="str">
        <v>Phong Bi A5</v>
      </c>
      <c r="C9">
        <f>'kho'!G9</f>
      </c>
      <c r="D9">
        <f>IF(ISERROR(C9),LEFT(B9&amp;"",1)="#",IF(ISNUMBER(C9),AND(ISNUMBER(B9),ABS(C9-B9)&lt;=0.000001*MAX(1,ABS(B9))),EXACT(C9&amp;"",B9&amp;"")))</f>
      </c>
      <c r="E9">
        <f>ISERROR(C9)</f>
      </c>
    </row>
    <row r="10">
      <c r="A10" t="str">
        <v>G10</v>
      </c>
      <c r="B10" t="str">
        <v>Bang Dinh Hai Mat</v>
      </c>
      <c r="C10">
        <f>'kho'!G10</f>
      </c>
      <c r="D10">
        <f>IF(ISERROR(C10),LEFT(B10&amp;"",1)="#",IF(ISNUMBER(C10),AND(ISNUMBER(B10),ABS(C10-B10)&lt;=0.000001*MAX(1,ABS(B10))),EXACT(C10&amp;"",B10&amp;"")))</f>
      </c>
      <c r="E10">
        <f>ISERROR(C10)</f>
      </c>
    </row>
    <row r="11">
      <c r="A11" t="str">
        <v>G11</v>
      </c>
      <c r="B11" t="str">
        <v>Kep Giay 32Mm</v>
      </c>
      <c r="C11">
        <f>'kho'!G11</f>
      </c>
      <c r="D11">
        <f>IF(ISERROR(C11),LEFT(B11&amp;"",1)="#",IF(ISNUMBER(C11),AND(ISNUMBER(B11),ABS(C11-B11)&lt;=0.000001*MAX(1,ABS(B11))),EXACT(C11&amp;"",B11&amp;"")))</f>
      </c>
      <c r="E11">
        <f>ISERROR(C11)</f>
      </c>
    </row>
    <row r="12">
      <c r="A12" t="str">
        <v>G12</v>
      </c>
      <c r="B12" t="str">
        <v>But Long Den</v>
      </c>
      <c r="C12">
        <f>'kho'!G12</f>
      </c>
      <c r="D12">
        <f>IF(ISERROR(C12),LEFT(B12&amp;"",1)="#",IF(ISNUMBER(C12),AND(ISNUMBER(B12),ABS(C12-B12)&lt;=0.000001*MAX(1,ABS(B12))),EXACT(C12&amp;"",B12&amp;"")))</f>
      </c>
      <c r="E12">
        <f>ISERROR(C12)</f>
      </c>
    </row>
    <row r="13">
      <c r="A13" t="str">
        <v>G13</v>
      </c>
      <c r="B13" t="str">
        <v>Keo Cat Giay</v>
      </c>
      <c r="C13">
        <f>'kho'!G13</f>
      </c>
      <c r="D13">
        <f>IF(ISERROR(C13),LEFT(B13&amp;"",1)="#",IF(ISNUMBER(C13),AND(ISNUMBER(B13),ABS(C13-B13)&lt;=0.000001*MAX(1,ABS(B13))),EXACT(C13&amp;"",B13&amp;"")))</f>
      </c>
      <c r="E13">
        <f>ISERROR(C13)</f>
      </c>
    </row>
    <row r="14">
      <c r="A14" t="str">
        <v>H2</v>
      </c>
      <c r="B14" t="str">
        <v>Van phong pham</v>
      </c>
      <c r="C14">
        <f>'kho'!H2</f>
      </c>
      <c r="D14">
        <f>IF(ISERROR(C14),LEFT(B14&amp;"",1)="#",IF(ISNUMBER(C14),AND(ISNUMBER(B14),ABS(C14-B14)&lt;=0.000001*MAX(1,ABS(B14))),EXACT(C14&amp;"",B14&amp;"")))</f>
      </c>
      <c r="E14">
        <f>ISERROR(C14)</f>
      </c>
    </row>
    <row r="15">
      <c r="A15" t="str">
        <v>H3</v>
      </c>
      <c r="B15" t="str">
        <v>Dung cu hoc tap</v>
      </c>
      <c r="C15">
        <f>'kho'!H3</f>
      </c>
      <c r="D15">
        <f>IF(ISERROR(C15),LEFT(B15&amp;"",1)="#",IF(ISNUMBER(C15),AND(ISNUMBER(B15),ABS(C15-B15)&lt;=0.000001*MAX(1,ABS(B15))),EXACT(C15&amp;"",B15&amp;"")))</f>
      </c>
      <c r="E15">
        <f>ISERROR(C15)</f>
      </c>
    </row>
    <row r="16">
      <c r="A16" t="str">
        <v>H4</v>
      </c>
      <c r="B16" t="str">
        <v>Thiet bi nho</v>
      </c>
      <c r="C16">
        <f>'kho'!H4</f>
      </c>
      <c r="D16">
        <f>IF(ISERROR(C16),LEFT(B16&amp;"",1)="#",IF(ISNUMBER(C16),AND(ISNUMBER(B16),ABS(C16-B16)&lt;=0.000001*MAX(1,ABS(B16))),EXACT(C16&amp;"",B16&amp;"")))</f>
      </c>
      <c r="E16">
        <f>ISERROR(C16)</f>
      </c>
    </row>
    <row r="17">
      <c r="A17" t="str">
        <v>H5</v>
      </c>
      <c r="B17" t="str">
        <v>Thiet bi nho</v>
      </c>
      <c r="C17">
        <f>'kho'!H5</f>
      </c>
      <c r="D17">
        <f>IF(ISERROR(C17),LEFT(B17&amp;"",1)="#",IF(ISNUMBER(C17),AND(ISNUMBER(B17),ABS(C17-B17)&lt;=0.000001*MAX(1,ABS(B17))),EXACT(C17&amp;"",B17&amp;"")))</f>
      </c>
      <c r="E17">
        <f>ISERROR(C17)</f>
      </c>
    </row>
    <row r="18">
      <c r="A18" t="str">
        <v>H6</v>
      </c>
      <c r="B18" t="str">
        <v>Dung cu hoc tap</v>
      </c>
      <c r="C18">
        <f>'kho'!H6</f>
      </c>
      <c r="D18">
        <f>IF(ISERROR(C18),LEFT(B18&amp;"",1)="#",IF(ISNUMBER(C18),AND(ISNUMBER(B18),ABS(C18-B18)&lt;=0.000001*MAX(1,ABS(B18))),EXACT(C18&amp;"",B18&amp;"")))</f>
      </c>
      <c r="E18">
        <f>ISERROR(C18)</f>
      </c>
    </row>
    <row r="19">
      <c r="A19" t="str">
        <v>H7</v>
      </c>
      <c r="B19" t="str">
        <v>Thiet bi nho</v>
      </c>
      <c r="C19">
        <f>'kho'!H7</f>
      </c>
      <c r="D19">
        <f>IF(ISERROR(C19),LEFT(B19&amp;"",1)="#",IF(ISNUMBER(C19),AND(ISNUMBER(B19),ABS(C19-B19)&lt;=0.000001*MAX(1,ABS(B19))),EXACT(C19&amp;"",B19&amp;"")))</f>
      </c>
      <c r="E19">
        <f>ISERROR(C19)</f>
      </c>
    </row>
    <row r="20">
      <c r="A20" t="str">
        <v>H8</v>
      </c>
      <c r="B20" t="str">
        <v>Dung cu hoc tap</v>
      </c>
      <c r="C20">
        <f>'kho'!H8</f>
      </c>
      <c r="D20">
        <f>IF(ISERROR(C20),LEFT(B20&amp;"",1)="#",IF(ISNUMBER(C20),AND(ISNUMBER(B20),ABS(C20-B20)&lt;=0.000001*MAX(1,ABS(B20))),EXACT(C20&amp;"",B20&amp;"")))</f>
      </c>
      <c r="E20">
        <f>ISERROR(C20)</f>
      </c>
    </row>
    <row r="21">
      <c r="A21" t="str">
        <v>H9</v>
      </c>
      <c r="B21" t="str">
        <v>Dung cu hoc tap</v>
      </c>
      <c r="C21">
        <f>'kho'!H9</f>
      </c>
      <c r="D21">
        <f>IF(ISERROR(C21),LEFT(B21&amp;"",1)="#",IF(ISNUMBER(C21),AND(ISNUMBER(B21),ABS(C21-B21)&lt;=0.000001*MAX(1,ABS(B21))),EXACT(C21&amp;"",B21&amp;"")))</f>
      </c>
      <c r="E21">
        <f>ISERROR(C21)</f>
      </c>
    </row>
    <row r="22">
      <c r="A22" t="str">
        <v>H10</v>
      </c>
      <c r="B22" t="str">
        <v>Thiet bi nho</v>
      </c>
      <c r="C22">
        <f>'kho'!H10</f>
      </c>
      <c r="D22">
        <f>IF(ISERROR(C22),LEFT(B22&amp;"",1)="#",IF(ISNUMBER(C22),AND(ISNUMBER(B22),ABS(C22-B22)&lt;=0.000001*MAX(1,ABS(B22))),EXACT(C22&amp;"",B22&amp;"")))</f>
      </c>
      <c r="E22">
        <f>ISERROR(C22)</f>
      </c>
    </row>
    <row r="23">
      <c r="A23" t="str">
        <v>H11</v>
      </c>
      <c r="B23" t="str">
        <v>Thiet bi nho</v>
      </c>
      <c r="C23">
        <f>'kho'!H11</f>
      </c>
      <c r="D23">
        <f>IF(ISERROR(C23),LEFT(B23&amp;"",1)="#",IF(ISNUMBER(C23),AND(ISNUMBER(B23),ABS(C23-B23)&lt;=0.000001*MAX(1,ABS(B23))),EXACT(C23&amp;"",B23&amp;"")))</f>
      </c>
      <c r="E23">
        <f>ISERROR(C23)</f>
      </c>
    </row>
    <row r="24">
      <c r="A24" t="str">
        <v>H12</v>
      </c>
      <c r="B24" t="str">
        <v>Van phong pham</v>
      </c>
      <c r="C24">
        <f>'kho'!H12</f>
      </c>
      <c r="D24">
        <f>IF(ISERROR(C24),LEFT(B24&amp;"",1)="#",IF(ISNUMBER(C24),AND(ISNUMBER(B24),ABS(C24-B24)&lt;=0.000001*MAX(1,ABS(B24))),EXACT(C24&amp;"",B24&amp;"")))</f>
      </c>
      <c r="E24">
        <f>ISERROR(C24)</f>
      </c>
    </row>
    <row r="25">
      <c r="A25" t="str">
        <v>H13</v>
      </c>
      <c r="B25" t="str">
        <v>Thiet bi nho</v>
      </c>
      <c r="C25">
        <f>'kho'!H13</f>
      </c>
      <c r="D25">
        <f>IF(ISERROR(C25),LEFT(B25&amp;"",1)="#",IF(ISNUMBER(C25),AND(ISNUMBER(B25),ABS(C25-B25)&lt;=0.000001*MAX(1,ABS(B25))),EXACT(C25&amp;"",B25&amp;"")))</f>
      </c>
      <c r="E25">
        <f>ISERROR(C25)</f>
      </c>
    </row>
    <row r="26">
      <c r="A26" t="str">
        <v>I2</v>
      </c>
      <c r="B26">
        <v>26</v>
      </c>
      <c r="C26">
        <f>'kho'!I2</f>
      </c>
      <c r="D26">
        <f>IF(ISERROR(C26),LEFT(B26&amp;"",1)="#",IF(ISNUMBER(C26),AND(ISNUMBER(B26),ABS(C26-B26)&lt;=0.000001*MAX(1,ABS(B26))),EXACT(C26&amp;"",B26&amp;"")))</f>
      </c>
      <c r="E26">
        <f>ISERROR(C26)</f>
      </c>
    </row>
    <row r="27">
      <c r="A27" t="str">
        <v>I3</v>
      </c>
      <c r="B27">
        <v>26</v>
      </c>
      <c r="C27">
        <f>'kho'!I3</f>
      </c>
      <c r="D27">
        <f>IF(ISERROR(C27),LEFT(B27&amp;"",1)="#",IF(ISNUMBER(C27),AND(ISNUMBER(B27),ABS(C27-B27)&lt;=0.000001*MAX(1,ABS(B27))),EXACT(C27&amp;"",B27&amp;"")))</f>
      </c>
      <c r="E27">
        <f>ISERROR(C27)</f>
      </c>
    </row>
    <row r="28">
      <c r="A28" t="str">
        <v>I4</v>
      </c>
      <c r="B28">
        <v>12</v>
      </c>
      <c r="C28">
        <f>'kho'!I4</f>
      </c>
      <c r="D28">
        <f>IF(ISERROR(C28),LEFT(B28&amp;"",1)="#",IF(ISNUMBER(C28),AND(ISNUMBER(B28),ABS(C28-B28)&lt;=0.000001*MAX(1,ABS(B28))),EXACT(C28&amp;"",B28&amp;"")))</f>
      </c>
      <c r="E28">
        <f>ISERROR(C28)</f>
      </c>
    </row>
    <row r="29">
      <c r="A29" t="str">
        <v>I5</v>
      </c>
      <c r="B29">
        <v>8</v>
      </c>
      <c r="C29">
        <f>'kho'!I5</f>
      </c>
      <c r="D29">
        <f>IF(ISERROR(C29),LEFT(B29&amp;"",1)="#",IF(ISNUMBER(C29),AND(ISNUMBER(B29),ABS(C29-B29)&lt;=0.000001*MAX(1,ABS(B29))),EXACT(C29&amp;"",B29&amp;"")))</f>
      </c>
      <c r="E29">
        <f>ISERROR(C29)</f>
      </c>
    </row>
    <row r="30">
      <c r="A30" t="str">
        <v>I6</v>
      </c>
      <c r="B30">
        <v>20</v>
      </c>
      <c r="C30">
        <f>'kho'!I6</f>
      </c>
      <c r="D30">
        <f>IF(ISERROR(C30),LEFT(B30&amp;"",1)="#",IF(ISNUMBER(C30),AND(ISNUMBER(B30),ABS(C30-B30)&lt;=0.000001*MAX(1,ABS(B30))),EXACT(C30&amp;"",B30&amp;"")))</f>
      </c>
      <c r="E30">
        <f>ISERROR(C30)</f>
      </c>
    </row>
    <row r="31">
      <c r="A31" t="str">
        <v>I7</v>
      </c>
      <c r="B31">
        <v>31</v>
      </c>
      <c r="C31">
        <f>'kho'!I7</f>
      </c>
      <c r="D31">
        <f>IF(ISERROR(C31),LEFT(B31&amp;"",1)="#",IF(ISNUMBER(C31),AND(ISNUMBER(B31),ABS(C31-B31)&lt;=0.000001*MAX(1,ABS(B31))),EXACT(C31&amp;"",B31&amp;"")))</f>
      </c>
      <c r="E31">
        <f>ISERROR(C31)</f>
      </c>
    </row>
    <row r="32">
      <c r="A32" t="str">
        <v>I8</v>
      </c>
      <c r="B32">
        <v>31</v>
      </c>
      <c r="C32">
        <f>'kho'!I8</f>
      </c>
      <c r="D32">
        <f>IF(ISERROR(C32),LEFT(B32&amp;"",1)="#",IF(ISNUMBER(C32),AND(ISNUMBER(B32),ABS(C32-B32)&lt;=0.000001*MAX(1,ABS(B32))),EXACT(C32&amp;"",B32&amp;"")))</f>
      </c>
      <c r="E32">
        <f>ISERROR(C32)</f>
      </c>
    </row>
    <row r="33">
      <c r="A33" t="str">
        <v>I9</v>
      </c>
      <c r="B33">
        <v>45</v>
      </c>
      <c r="C33">
        <f>'kho'!I9</f>
      </c>
      <c r="D33">
        <f>IF(ISERROR(C33),LEFT(B33&amp;"",1)="#",IF(ISNUMBER(C33),AND(ISNUMBER(B33),ABS(C33-B33)&lt;=0.000001*MAX(1,ABS(B33))),EXACT(C33&amp;"",B33&amp;"")))</f>
      </c>
      <c r="E33">
        <f>ISERROR(C33)</f>
      </c>
    </row>
    <row r="34">
      <c r="A34" t="str">
        <v>I10</v>
      </c>
      <c r="B34">
        <v>16</v>
      </c>
      <c r="C34">
        <f>'kho'!I10</f>
      </c>
      <c r="D34">
        <f>IF(ISERROR(C34),LEFT(B34&amp;"",1)="#",IF(ISNUMBER(C34),AND(ISNUMBER(B34),ABS(C34-B34)&lt;=0.000001*MAX(1,ABS(B34))),EXACT(C34&amp;"",B34&amp;"")))</f>
      </c>
      <c r="E34">
        <f>ISERROR(C34)</f>
      </c>
    </row>
    <row r="35">
      <c r="A35" t="str">
        <v>I11</v>
      </c>
      <c r="B35">
        <v>38</v>
      </c>
      <c r="C35">
        <f>'kho'!I11</f>
      </c>
      <c r="D35">
        <f>IF(ISERROR(C35),LEFT(B35&amp;"",1)="#",IF(ISNUMBER(C35),AND(ISNUMBER(B35),ABS(C35-B35)&lt;=0.000001*MAX(1,ABS(B35))),EXACT(C35&amp;"",B35&amp;"")))</f>
      </c>
      <c r="E35">
        <f>ISERROR(C35)</f>
      </c>
    </row>
    <row r="36">
      <c r="A36" t="str">
        <v>I12</v>
      </c>
      <c r="B36">
        <v>42</v>
      </c>
      <c r="C36">
        <f>'kho'!I12</f>
      </c>
      <c r="D36">
        <f>IF(ISERROR(C36),LEFT(B36&amp;"",1)="#",IF(ISNUMBER(C36),AND(ISNUMBER(B36),ABS(C36-B36)&lt;=0.000001*MAX(1,ABS(B36))),EXACT(C36&amp;"",B36&amp;"")))</f>
      </c>
      <c r="E36">
        <f>ISERROR(C36)</f>
      </c>
    </row>
    <row r="37">
      <c r="A37" t="str">
        <v>I13</v>
      </c>
      <c r="B37">
        <v>12</v>
      </c>
      <c r="C37">
        <f>'kho'!I13</f>
      </c>
      <c r="D37">
        <f>IF(ISERROR(C37),LEFT(B37&amp;"",1)="#",IF(ISNUMBER(C37),AND(ISNUMBER(B37),ABS(C37-B37)&lt;=0.000001*MAX(1,ABS(B37))),EXACT(C37&amp;"",B37&amp;"")))</f>
      </c>
      <c r="E37">
        <f>ISERROR(C37)</f>
      </c>
    </row>
    <row r="38">
      <c r="A38" t="str">
        <v>J2</v>
      </c>
      <c r="B38">
        <v>172800</v>
      </c>
      <c r="C38">
        <f>'kho'!J2</f>
      </c>
      <c r="D38">
        <f>IF(ISERROR(C38),LEFT(B38&amp;"",1)="#",IF(ISNUMBER(C38),AND(ISNUMBER(B38),ABS(C38-B38)&lt;=0.000001*MAX(1,ABS(B38))),EXACT(C38&amp;"",B38&amp;"")))</f>
      </c>
      <c r="E38">
        <f>ISERROR(C38)</f>
      </c>
    </row>
    <row r="39">
      <c r="A39" t="str">
        <v>J3</v>
      </c>
      <c r="B39">
        <v>32000</v>
      </c>
      <c r="C39">
        <f>'kho'!J3</f>
      </c>
      <c r="D39">
        <f>IF(ISERROR(C39),LEFT(B39&amp;"",1)="#",IF(ISNUMBER(C39),AND(ISNUMBER(B39),ABS(C39-B39)&lt;=0.000001*MAX(1,ABS(B39))),EXACT(C39&amp;"",B39&amp;"")))</f>
      </c>
      <c r="E39">
        <f>ISERROR(C39)</f>
      </c>
    </row>
    <row r="40">
      <c r="A40" t="str">
        <v>J4</v>
      </c>
      <c r="B40">
        <v>495000</v>
      </c>
      <c r="C40">
        <f>'kho'!J4</f>
      </c>
      <c r="D40">
        <f>IF(ISERROR(C40),LEFT(B40&amp;"",1)="#",IF(ISNUMBER(C40),AND(ISNUMBER(B40),ABS(C40-B40)&lt;=0.000001*MAX(1,ABS(B40))),EXACT(C40&amp;"",B40&amp;"")))</f>
      </c>
      <c r="E40">
        <f>ISERROR(C40)</f>
      </c>
    </row>
    <row r="41">
      <c r="A41" t="str">
        <v>J5</v>
      </c>
      <c r="B41">
        <v>245700</v>
      </c>
      <c r="C41">
        <f>'kho'!J5</f>
      </c>
      <c r="D41">
        <f>IF(ISERROR(C41),LEFT(B41&amp;"",1)="#",IF(ISNUMBER(C41),AND(ISNUMBER(B41),ABS(C41-B41)&lt;=0.000001*MAX(1,ABS(B41))),EXACT(C41&amp;"",B41&amp;"")))</f>
      </c>
      <c r="E41">
        <f>ISERROR(C41)</f>
      </c>
    </row>
    <row r="42">
      <c r="A42" t="str">
        <v>J6</v>
      </c>
      <c r="B42">
        <v>27000</v>
      </c>
      <c r="C42">
        <f>'kho'!J6</f>
      </c>
      <c r="D42">
        <f>IF(ISERROR(C42),LEFT(B42&amp;"",1)="#",IF(ISNUMBER(C42),AND(ISNUMBER(B42),ABS(C42-B42)&lt;=0.000001*MAX(1,ABS(B42))),EXACT(C42&amp;"",B42&amp;"")))</f>
      </c>
      <c r="E42">
        <f>ISERROR(C42)</f>
      </c>
    </row>
    <row r="43">
      <c r="A43" t="str">
        <v>J7</v>
      </c>
      <c r="B43">
        <v>108900</v>
      </c>
      <c r="C43">
        <f>'kho'!J7</f>
      </c>
      <c r="D43">
        <f>IF(ISERROR(C43),LEFT(B43&amp;"",1)="#",IF(ISNUMBER(C43),AND(ISNUMBER(B43),ABS(C43-B43)&lt;=0.000001*MAX(1,ABS(B43))),EXACT(C43&amp;"",B43&amp;"")))</f>
      </c>
      <c r="E43">
        <f>ISERROR(C43)</f>
      </c>
    </row>
    <row r="44">
      <c r="A44" t="str">
        <v>J8</v>
      </c>
      <c r="B44">
        <v>324900</v>
      </c>
      <c r="C44">
        <f>'kho'!J8</f>
      </c>
      <c r="D44">
        <f>IF(ISERROR(C44),LEFT(B44&amp;"",1)="#",IF(ISNUMBER(C44),AND(ISNUMBER(B44),ABS(C44-B44)&lt;=0.000001*MAX(1,ABS(B44))),EXACT(C44&amp;"",B44&amp;"")))</f>
      </c>
      <c r="E44">
        <f>ISERROR(C44)</f>
      </c>
    </row>
    <row r="45">
      <c r="A45" t="str">
        <v>J9</v>
      </c>
      <c r="B45">
        <v>122400</v>
      </c>
      <c r="C45">
        <f>'kho'!J9</f>
      </c>
      <c r="D45">
        <f>IF(ISERROR(C45),LEFT(B45&amp;"",1)="#",IF(ISNUMBER(C45),AND(ISNUMBER(B45),ABS(C45-B45)&lt;=0.000001*MAX(1,ABS(B45))),EXACT(C45&amp;"",B45&amp;"")))</f>
      </c>
      <c r="E45">
        <f>ISERROR(C45)</f>
      </c>
    </row>
    <row r="46">
      <c r="A46" t="str">
        <v>J10</v>
      </c>
      <c r="B46">
        <v>72000</v>
      </c>
      <c r="C46">
        <f>'kho'!J10</f>
      </c>
      <c r="D46">
        <f>IF(ISERROR(C46),LEFT(B46&amp;"",1)="#",IF(ISNUMBER(C46),AND(ISNUMBER(B46),ABS(C46-B46)&lt;=0.000001*MAX(1,ABS(B46))),EXACT(C46&amp;"",B46&amp;"")))</f>
      </c>
      <c r="E46">
        <f>ISERROR(C46)</f>
      </c>
    </row>
    <row r="47">
      <c r="A47" t="str">
        <v>J11</v>
      </c>
      <c r="B47">
        <v>18000</v>
      </c>
      <c r="C47">
        <f>'kho'!J11</f>
      </c>
      <c r="D47">
        <f>IF(ISERROR(C47),LEFT(B47&amp;"",1)="#",IF(ISNUMBER(C47),AND(ISNUMBER(B47),ABS(C47-B47)&lt;=0.000001*MAX(1,ABS(B47))),EXACT(C47&amp;"",B47&amp;"")))</f>
      </c>
      <c r="E47">
        <f>ISERROR(C47)</f>
      </c>
    </row>
    <row r="48">
      <c r="A48" t="str">
        <v>J12</v>
      </c>
      <c r="B48">
        <v>198000</v>
      </c>
      <c r="C48">
        <f>'kho'!J12</f>
      </c>
      <c r="D48">
        <f>IF(ISERROR(C48),LEFT(B48&amp;"",1)="#",IF(ISNUMBER(C48),AND(ISNUMBER(B48),ABS(C48-B48)&lt;=0.000001*MAX(1,ABS(B48))),EXACT(C48&amp;"",B48&amp;"")))</f>
      </c>
      <c r="E48">
        <f>ISERROR(C48)</f>
      </c>
    </row>
    <row r="49">
      <c r="A49" t="str">
        <v>J13</v>
      </c>
      <c r="B49">
        <v>579600</v>
      </c>
      <c r="C49">
        <f>'kho'!J13</f>
      </c>
      <c r="D49">
        <f>IF(ISERROR(C49),LEFT(B49&amp;"",1)="#",IF(ISNUMBER(C49),AND(ISNUMBER(B49),ABS(C49-B49)&lt;=0.000001*MAX(1,ABS(B49))),EXACT(C49&amp;"",B49&amp;"")))</f>
      </c>
      <c r="E49">
        <f>ISERROR(C49)</f>
      </c>
    </row>
    <row r="50">
      <c r="A50" t="str">
        <v>K2</v>
      </c>
      <c r="B50" t="str">
        <v>CAO</v>
      </c>
      <c r="C50">
        <f>'kho'!K2</f>
      </c>
      <c r="D50">
        <f>IF(ISERROR(C50),LEFT(B50&amp;"",1)="#",IF(ISNUMBER(C50),AND(ISNUMBER(B50),ABS(C50-B50)&lt;=0.000001*MAX(1,ABS(B50))),EXACT(C50&amp;"",B50&amp;"")))</f>
      </c>
      <c r="E50">
        <f>ISERROR(C50)</f>
      </c>
    </row>
    <row r="51">
      <c r="A51" t="str">
        <v>K3</v>
      </c>
      <c r="B51" t="str">
        <v>THAP</v>
      </c>
      <c r="C51">
        <f>'kho'!K3</f>
      </c>
      <c r="D51">
        <f>IF(ISERROR(C51),LEFT(B51&amp;"",1)="#",IF(ISNUMBER(C51),AND(ISNUMBER(B51),ABS(C51-B51)&lt;=0.000001*MAX(1,ABS(B51))),EXACT(C51&amp;"",B51&amp;"")))</f>
      </c>
      <c r="E51">
        <f>ISERROR(C51)</f>
      </c>
    </row>
    <row r="52">
      <c r="A52" t="str">
        <v>K4</v>
      </c>
      <c r="B52" t="str">
        <v>CAO</v>
      </c>
      <c r="C52">
        <f>'kho'!K4</f>
      </c>
      <c r="D52">
        <f>IF(ISERROR(C52),LEFT(B52&amp;"",1)="#",IF(ISNUMBER(C52),AND(ISNUMBER(B52),ABS(C52-B52)&lt;=0.000001*MAX(1,ABS(B52))),EXACT(C52&amp;"",B52&amp;"")))</f>
      </c>
      <c r="E52">
        <f>ISERROR(C52)</f>
      </c>
    </row>
    <row r="53">
      <c r="A53" t="str">
        <v>K5</v>
      </c>
      <c r="B53" t="str">
        <v>CAO</v>
      </c>
      <c r="C53">
        <f>'kho'!K5</f>
      </c>
      <c r="D53">
        <f>IF(ISERROR(C53),LEFT(B53&amp;"",1)="#",IF(ISNUMBER(C53),AND(ISNUMBER(B53),ABS(C53-B53)&lt;=0.000001*MAX(1,ABS(B53))),EXACT(C53&amp;"",B53&amp;"")))</f>
      </c>
      <c r="E53">
        <f>ISERROR(C53)</f>
      </c>
    </row>
    <row r="54">
      <c r="A54" t="str">
        <v>K6</v>
      </c>
      <c r="B54" t="str">
        <v>THAP</v>
      </c>
      <c r="C54">
        <f>'kho'!K6</f>
      </c>
      <c r="D54">
        <f>IF(ISERROR(C54),LEFT(B54&amp;"",1)="#",IF(ISNUMBER(C54),AND(ISNUMBER(B54),ABS(C54-B54)&lt;=0.000001*MAX(1,ABS(B54))),EXACT(C54&amp;"",B54&amp;"")))</f>
      </c>
      <c r="E54">
        <f>ISERROR(C54)</f>
      </c>
    </row>
    <row r="55">
      <c r="A55" t="str">
        <v>K7</v>
      </c>
      <c r="B55" t="str">
        <v>TB</v>
      </c>
      <c r="C55">
        <f>'kho'!K7</f>
      </c>
      <c r="D55">
        <f>IF(ISERROR(C55),LEFT(B55&amp;"",1)="#",IF(ISNUMBER(C55),AND(ISNUMBER(B55),ABS(C55-B55)&lt;=0.000001*MAX(1,ABS(B55))),EXACT(C55&amp;"",B55&amp;"")))</f>
      </c>
      <c r="E55">
        <f>ISERROR(C55)</f>
      </c>
    </row>
    <row r="56">
      <c r="A56" t="str">
        <v>K8</v>
      </c>
      <c r="B56" t="str">
        <v>CAO</v>
      </c>
      <c r="C56">
        <f>'kho'!K8</f>
      </c>
      <c r="D56">
        <f>IF(ISERROR(C56),LEFT(B56&amp;"",1)="#",IF(ISNUMBER(C56),AND(ISNUMBER(B56),ABS(C56-B56)&lt;=0.000001*MAX(1,ABS(B56))),EXACT(C56&amp;"",B56&amp;"")))</f>
      </c>
      <c r="E56">
        <f>ISERROR(C56)</f>
      </c>
    </row>
    <row r="57">
      <c r="A57" t="str">
        <v>K9</v>
      </c>
      <c r="B57" t="str">
        <v>TB</v>
      </c>
      <c r="C57">
        <f>'kho'!K9</f>
      </c>
      <c r="D57">
        <f>IF(ISERROR(C57),LEFT(B57&amp;"",1)="#",IF(ISNUMBER(C57),AND(ISNUMBER(B57),ABS(C57-B57)&lt;=0.000001*MAX(1,ABS(B57))),EXACT(C57&amp;"",B57&amp;"")))</f>
      </c>
      <c r="E57">
        <f>ISERROR(C57)</f>
      </c>
    </row>
    <row r="58">
      <c r="A58" t="str">
        <v>K10</v>
      </c>
      <c r="B58" t="str">
        <v>TB</v>
      </c>
      <c r="C58">
        <f>'kho'!K10</f>
      </c>
      <c r="D58">
        <f>IF(ISERROR(C58),LEFT(B58&amp;"",1)="#",IF(ISNUMBER(C58),AND(ISNUMBER(B58),ABS(C58-B58)&lt;=0.000001*MAX(1,ABS(B58))),EXACT(C58&amp;"",B58&amp;"")))</f>
      </c>
      <c r="E58">
        <f>ISERROR(C58)</f>
      </c>
    </row>
    <row r="59">
      <c r="A59" t="str">
        <v>K11</v>
      </c>
      <c r="B59" t="str">
        <v>THAP</v>
      </c>
      <c r="C59">
        <f>'kho'!K11</f>
      </c>
      <c r="D59">
        <f>IF(ISERROR(C59),LEFT(B59&amp;"",1)="#",IF(ISNUMBER(C59),AND(ISNUMBER(B59),ABS(C59-B59)&lt;=0.000001*MAX(1,ABS(B59))),EXACT(C59&amp;"",B59&amp;"")))</f>
      </c>
      <c r="E59">
        <f>ISERROR(C59)</f>
      </c>
    </row>
    <row r="60">
      <c r="A60" t="str">
        <v>K12</v>
      </c>
      <c r="B60" t="str">
        <v>CAO</v>
      </c>
      <c r="C60">
        <f>'kho'!K12</f>
      </c>
      <c r="D60">
        <f>IF(ISERROR(C60),LEFT(B60&amp;"",1)="#",IF(ISNUMBER(C60),AND(ISNUMBER(B60),ABS(C60-B60)&lt;=0.000001*MAX(1,ABS(B60))),EXACT(C60&amp;"",B60&amp;"")))</f>
      </c>
      <c r="E60">
        <f>ISERROR(C60)</f>
      </c>
    </row>
    <row r="61">
      <c r="A61" t="str">
        <v>K13</v>
      </c>
      <c r="B61" t="str">
        <v>CAO</v>
      </c>
      <c r="C61">
        <f>'kho'!K13</f>
      </c>
      <c r="D61">
        <f>IF(ISERROR(C61),LEFT(B61&amp;"",1)="#",IF(ISNUMBER(C61),AND(ISNUMBER(B61),ABS(C61-B61)&lt;=0.000001*MAX(1,ABS(B61))),EXACT(C61&amp;"",B61&amp;"")))</f>
      </c>
      <c r="E61">
        <f>ISERROR(C61)</f>
      </c>
    </row>
    <row r="62">
      <c r="A62" t="str">
        <v>U2</v>
      </c>
      <c r="B62" t="str">
        <v>SP12</v>
      </c>
      <c r="C62">
        <f>'kho'!U2</f>
      </c>
      <c r="D62">
        <f>IF(ISERROR(C62),LEFT(B62&amp;"",1)="#",IF(ISNUMBER(C62),AND(ISNUMBER(B62),ABS(C62-B62)&lt;=0.000001*MAX(1,ABS(B62))),EXACT(C62&amp;"",B62&amp;"")))</f>
      </c>
      <c r="E62">
        <f>ISERROR(C62)</f>
      </c>
    </row>
    <row r="63">
      <c r="A63" t="str">
        <v>U3</v>
      </c>
      <c r="B63">
        <v>370800</v>
      </c>
      <c r="C63">
        <f>'kho'!U3</f>
      </c>
      <c r="D63">
        <f>IF(ISERROR(C63),LEFT(B63&amp;"",1)="#",IF(ISNUMBER(C63),AND(ISNUMBER(B63),ABS(C63-B63)&lt;=0.000001*MAX(1,ABS(B63))),EXACT(C63&amp;"",B63&amp;"")))</f>
      </c>
      <c r="E63">
        <f>ISERROR(C63)</f>
      </c>
    </row>
    <row r="64">
      <c r="A64" t="str">
        <v>U4</v>
      </c>
      <c r="B64">
        <v>9</v>
      </c>
      <c r="C64">
        <f>'kho'!U4</f>
      </c>
      <c r="D64">
        <f>IF(ISERROR(C64),LEFT(B64&amp;"",1)="#",IF(ISNUMBER(C64),AND(ISNUMBER(B64),ABS(C64-B64)&lt;=0.000001*MAX(1,ABS(B64))),EXACT(C64&amp;"",B64&amp;"")))</f>
      </c>
      <c r="E64">
        <f>ISERROR(C64)</f>
      </c>
    </row>
    <row r="65">
      <c r="A65" t="str">
        <v>U5</v>
      </c>
      <c r="B65">
        <v>9500</v>
      </c>
      <c r="C65">
        <f>'kho'!U5</f>
      </c>
      <c r="D65">
        <f>IF(ISERROR(C65),LEFT(B65&amp;"",1)="#",IF(ISNUMBER(C65),AND(ISNUMBER(B65),ABS(C65-B65)&lt;=0.000001*MAX(1,ABS(B65))),EXACT(C65&amp;"",B65&amp;"")))</f>
      </c>
      <c r="E65">
        <f>ISERROR(C65)</f>
      </c>
    </row>
    <row r="66">
      <c r="A66" t="str">
        <v>U6</v>
      </c>
      <c r="B66">
        <v>32000</v>
      </c>
      <c r="C66">
        <f>'kho'!U6</f>
      </c>
      <c r="D66">
        <f>IF(ISERROR(C66),LEFT(B66&amp;"",1)="#",IF(ISNUMBER(C66),AND(ISNUMBER(B66),ABS(C66-B66)&lt;=0.000001*MAX(1,ABS(B66))),EXACT(C66&amp;"",B66&amp;"")))</f>
      </c>
      <c r="E66">
        <f>ISERROR(C66)</f>
      </c>
    </row>
    <row r="67">
      <c r="A67" t="str">
        <v>U7</v>
      </c>
      <c r="B67">
        <v>2</v>
      </c>
      <c r="C67">
        <f>'kho'!U7</f>
      </c>
      <c r="D67">
        <f>IF(ISERROR(C67),LEFT(B67&amp;"",1)="#",IF(ISNUMBER(C67),AND(ISNUMBER(B67),ABS(C67-B67)&lt;=0.000001*MAX(1,ABS(B67))),EXACT(C67&amp;"",B67&amp;"")))</f>
      </c>
      <c r="E67">
        <f>ISERROR(C67)</f>
      </c>
    </row>
    <row r="68">
      <c r="A68" t="str">
        <v>U8</v>
      </c>
      <c r="B68">
        <v>44</v>
      </c>
      <c r="C68">
        <f>'kho'!U8</f>
      </c>
      <c r="D68">
        <f>IF(ISERROR(C68),LEFT(B68&amp;"",1)="#",IF(ISNUMBER(C68),AND(ISNUMBER(B68),ABS(C68-B68)&lt;=0.000001*MAX(1,ABS(B68))),EXACT(C68&amp;"",B68&amp;"")))</f>
      </c>
      <c r="E68">
        <f>ISERROR(C68)</f>
      </c>
    </row>
    <row r="69">
      <c r="A69" t="str">
        <v>U9</v>
      </c>
      <c r="B69">
        <v>9500</v>
      </c>
      <c r="C69">
        <f>'kho'!U9</f>
      </c>
      <c r="D69">
        <f>IF(ISERROR(C69),LEFT(B69&amp;"",1)="#",IF(ISNUMBER(C69),AND(ISNUMBER(B69),ABS(C69-B69)&lt;=0.000001*MAX(1,ABS(B69))),EXACT(C69&amp;"",B69&amp;"")))</f>
      </c>
      <c r="E69">
        <f>ISERROR(C69)</f>
      </c>
    </row>
    <row r="70">
      <c r="A70" t="str">
        <v>U10</v>
      </c>
      <c r="B70">
        <v>2649000</v>
      </c>
      <c r="C70">
        <f>'kho'!U10</f>
      </c>
      <c r="D70">
        <f>IF(ISERROR(C70),LEFT(B70&amp;"",1)="#",IF(ISNUMBER(C70),AND(ISNUMBER(B70),ABS(C70-B70)&lt;=0.000001*MAX(1,ABS(B70))),EXACT(C70&amp;"",B70&amp;"")))</f>
      </c>
      <c r="E70">
        <f>ISERROR(C70)</f>
      </c>
    </row>
    <row r="71">
      <c r="A71" t="str">
        <v>U11</v>
      </c>
      <c r="B71">
        <v>123000</v>
      </c>
      <c r="C71">
        <f>'kho'!U11</f>
      </c>
      <c r="D71">
        <f>IF(ISERROR(C71),LEFT(B71&amp;"",1)="#",IF(ISNUMBER(C71),AND(ISNUMBER(B71),ABS(C71-B71)&lt;=0.000001*MAX(1,ABS(B71))),EXACT(C71&amp;"",B71&amp;"")))</f>
      </c>
      <c r="E71">
        <f>ISERROR(C71)</f>
      </c>
    </row>
  </sheetData>
  <ignoredErrors>
    <ignoredError numberStoredAsText="1" sqref="A1:E71"/>
  </ignoredErrors>
</worksheet>
</file>

<file path=xl/worksheets/sheet7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MaDon</v>
      </c>
      <c r="B1" t="str">
        <v>MaKH</v>
      </c>
      <c r="C1" t="str">
        <v>SoLuong</v>
      </c>
      <c r="D1" t="str">
        <v>DonGia</v>
      </c>
      <c r="E1" t="str">
        <v>NgayDat</v>
      </c>
      <c r="F1" t="str">
        <v>NgayGiao</v>
      </c>
      <c r="G1" t="str">
        <v>SoDon</v>
      </c>
      <c r="H1" t="str">
        <v>GiamGia</v>
      </c>
      <c r="I1" t="str">
        <v>ThanhTien</v>
      </c>
      <c r="J1" t="str">
        <v>SoNgayLam</v>
      </c>
      <c r="K1" t="str">
        <v>Thu</v>
      </c>
      <c r="L1" t="str">
        <v>TrangThai</v>
      </c>
      <c r="R1" t="str">
        <v>Nhom</v>
      </c>
      <c r="S1" t="str">
        <v>GiamGia</v>
      </c>
      <c r="W1" t="str">
        <v>TrangThai</v>
      </c>
      <c r="Y1" t="str">
        <v>TongHop</v>
      </c>
      <c r="Z1" t="str">
        <v>KetQua</v>
      </c>
    </row>
    <row r="2">
      <c r="A2" t="str">
        <v>DH1000</v>
      </c>
      <c r="B2" t="str">
        <v>VP19</v>
      </c>
      <c r="C2">
        <v>21</v>
      </c>
      <c r="D2">
        <v>540000</v>
      </c>
      <c r="E2" s="1">
        <v>46312</v>
      </c>
      <c r="F2" s="1">
        <v>46317</v>
      </c>
      <c r="G2">
        <f>VALUE(RIGHT(A2,4))</f>
        <v>1000</v>
      </c>
      <c r="H2">
        <f>VLOOKUP(LEFT(B2,2),$R$2:$S$4,2,FALSE)</f>
        <v>0.15</v>
      </c>
      <c r="I2">
        <f>ROUND(C2*D2*(1-H2),0)</f>
        <v>9639000</v>
      </c>
      <c r="J2">
        <f>NETWORKDAYS(E2,F2)</f>
        <v>4</v>
      </c>
      <c r="K2">
        <f>WEEKDAY(E2,2)</f>
        <v>6</v>
      </c>
      <c r="L2" t="str">
        <f>IF(AND(J2&lt;=3,I2&gt;=1000000),"UU TIEN",IF(J2&lt;=5,"BINH THUONG","CHAM"))</f>
        <v>BINH THUONG</v>
      </c>
      <c r="R2" t="str">
        <v>VP</v>
      </c>
      <c r="S2">
        <v>0.15</v>
      </c>
      <c r="W2" t="str">
        <v>CHAM</v>
      </c>
      <c r="Y2" t="str">
        <v>Ma don co ThanhTien lon nhat</v>
      </c>
      <c r="Z2" t="str">
        <f>INDEX(A2:A13,MATCH(MAX(I2:I13),I2:I13,0))</f>
        <v>DH1144</v>
      </c>
    </row>
    <row r="3">
      <c r="A3" t="str">
        <v>DH1021</v>
      </c>
      <c r="B3" t="str">
        <v>TV31</v>
      </c>
      <c r="C3">
        <v>25</v>
      </c>
      <c r="D3">
        <v>240000</v>
      </c>
      <c r="E3" s="1">
        <v>46318</v>
      </c>
      <c r="F3" s="1">
        <v>46326</v>
      </c>
      <c r="G3">
        <f>VALUE(RIGHT(A3,4))</f>
        <v>1021</v>
      </c>
      <c r="H3">
        <f>VLOOKUP(LEFT(B3,2),$R$2:$S$4,2,FALSE)</f>
        <v>0.1</v>
      </c>
      <c r="I3">
        <f>ROUND(C3*D3*(1-H3),0)</f>
        <v>5400000</v>
      </c>
      <c r="J3">
        <f>NETWORKDAYS(E3,F3)</f>
        <v>6</v>
      </c>
      <c r="K3">
        <f>WEEKDAY(E3,2)</f>
        <v>5</v>
      </c>
      <c r="L3" t="str">
        <f>IF(AND(J3&lt;=3,I3&gt;=1000000),"UU TIEN",IF(J3&lt;=5,"BINH THUONG","CHAM"))</f>
        <v>CHAM</v>
      </c>
      <c r="R3" t="str">
        <v>TV</v>
      </c>
      <c r="S3">
        <v>0.1</v>
      </c>
      <c r="Y3" t="str">
        <v>Tong ThanhTien don CHAM</v>
      </c>
      <c r="Z3">
        <f>SUMIF(L2:L13,"CHAM",I2:I13)</f>
        <v>40723000</v>
      </c>
    </row>
    <row r="4">
      <c r="A4" t="str">
        <v>DH1028</v>
      </c>
      <c r="B4" t="str">
        <v>MB79</v>
      </c>
      <c r="C4">
        <v>26</v>
      </c>
      <c r="D4">
        <v>530000</v>
      </c>
      <c r="E4" s="1">
        <v>46315</v>
      </c>
      <c r="F4" s="1">
        <v>46323</v>
      </c>
      <c r="G4">
        <f>VALUE(RIGHT(A4,4))</f>
        <v>1028</v>
      </c>
      <c r="H4">
        <f>VLOOKUP(LEFT(B4,2),$R$2:$S$4,2,FALSE)</f>
        <v>0.05</v>
      </c>
      <c r="I4">
        <f>ROUND(C4*D4*(1-H4),0)</f>
        <v>13091000</v>
      </c>
      <c r="J4">
        <f>NETWORKDAYS(E4,F4)</f>
        <v>7</v>
      </c>
      <c r="K4">
        <f>WEEKDAY(E4,2)</f>
        <v>2</v>
      </c>
      <c r="L4" t="str">
        <f>IF(AND(J4&lt;=3,I4&gt;=1000000),"UU TIEN",IF(J4&lt;=5,"BINH THUONG","CHAM"))</f>
        <v>CHAM</v>
      </c>
      <c r="R4" t="str">
        <v>MB</v>
      </c>
      <c r="S4">
        <v>0.05</v>
      </c>
      <c r="Y4" t="str">
        <v>So don giao &gt;3 ngay, SoLuong &gt;= 10</v>
      </c>
      <c r="Z4">
        <f>COUNTIFS(J2:J13,"&gt;3",C2:C13,"&gt;=10")</f>
        <v>9</v>
      </c>
    </row>
    <row r="5">
      <c r="A5" t="str">
        <v>DH1041</v>
      </c>
      <c r="B5" t="str">
        <v>TV32</v>
      </c>
      <c r="C5">
        <v>7</v>
      </c>
      <c r="D5">
        <v>360000</v>
      </c>
      <c r="E5" s="1">
        <v>46320</v>
      </c>
      <c r="F5" s="1">
        <v>46329</v>
      </c>
      <c r="G5">
        <f>VALUE(RIGHT(A5,4))</f>
        <v>1041</v>
      </c>
      <c r="H5">
        <f>VLOOKUP(LEFT(B5,2),$R$2:$S$4,2,FALSE)</f>
        <v>0.1</v>
      </c>
      <c r="I5">
        <f>ROUND(C5*D5*(1-H5),0)</f>
        <v>2268000</v>
      </c>
      <c r="J5">
        <f>NETWORKDAYS(E5,F5)</f>
        <v>7</v>
      </c>
      <c r="K5">
        <f>WEEKDAY(E5,2)</f>
        <v>7</v>
      </c>
      <c r="L5" t="str">
        <f>IF(AND(J5&lt;=3,I5&gt;=1000000),"UU TIEN",IF(J5&lt;=5,"BINH THUONG","CHAM"))</f>
        <v>CHAM</v>
      </c>
      <c r="Y5" t="str">
        <v>ThanhTien TB don giao &gt;3 ngay</v>
      </c>
      <c r="Z5">
        <f>AVERAGEIF(J2:J13,"&gt;3",I2:I13)</f>
        <v>6675318.181818182</v>
      </c>
    </row>
    <row r="6">
      <c r="A6" t="str">
        <v>DH1063</v>
      </c>
      <c r="B6" t="str">
        <v>MB69</v>
      </c>
      <c r="C6">
        <v>5</v>
      </c>
      <c r="D6">
        <v>510000</v>
      </c>
      <c r="E6" s="1">
        <v>46301</v>
      </c>
      <c r="F6" s="1">
        <v>46306</v>
      </c>
      <c r="G6">
        <f>VALUE(RIGHT(A6,4))</f>
        <v>1063</v>
      </c>
      <c r="H6">
        <f>VLOOKUP(LEFT(B6,2),$R$2:$S$4,2,FALSE)</f>
        <v>0.05</v>
      </c>
      <c r="I6">
        <f>ROUND(C6*D6*(1-H6),0)</f>
        <v>2422500</v>
      </c>
      <c r="J6">
        <f>NETWORKDAYS(E6,F6)</f>
        <v>4</v>
      </c>
      <c r="K6">
        <f>WEEKDAY(E6,2)</f>
        <v>2</v>
      </c>
      <c r="L6" t="str">
        <f>IF(AND(J6&lt;=3,I6&gt;=1000000),"UU TIEN",IF(J6&lt;=5,"BINH THUONG","CHAM"))</f>
        <v>BINH THUONG</v>
      </c>
      <c r="Y6" t="str">
        <v>ThanhTien lon nhat don dat cuoi tuan</v>
      </c>
      <c r="Z6">
        <f>_xlfn.MAXIFS(I2:I13,K2:K13,"&gt;=6")</f>
        <v>13311000</v>
      </c>
    </row>
    <row r="7">
      <c r="A7" t="str">
        <v>DH1070</v>
      </c>
      <c r="B7" t="str">
        <v>MB23</v>
      </c>
      <c r="C7">
        <v>29</v>
      </c>
      <c r="D7">
        <v>260000</v>
      </c>
      <c r="E7" s="1">
        <v>46320</v>
      </c>
      <c r="F7" s="1">
        <v>46328</v>
      </c>
      <c r="G7">
        <f>VALUE(RIGHT(A7,4))</f>
        <v>1070</v>
      </c>
      <c r="H7">
        <f>VLOOKUP(LEFT(B7,2),$R$2:$S$4,2,FALSE)</f>
        <v>0.05</v>
      </c>
      <c r="I7">
        <f>ROUND(C7*D7*(1-H7),0)</f>
        <v>7163000</v>
      </c>
      <c r="J7">
        <f>NETWORKDAYS(E7,F7)</f>
        <v>6</v>
      </c>
      <c r="K7">
        <f>WEEKDAY(E7,2)</f>
        <v>7</v>
      </c>
      <c r="L7" t="str">
        <f>IF(AND(J7&lt;=3,I7&gt;=1000000),"UU TIEN",IF(J7&lt;=5,"BINH THUONG","CHAM"))</f>
        <v>CHAM</v>
      </c>
      <c r="Y7" t="str">
        <v>Tong ThanhTien theo tieu chi W1:W2</v>
      </c>
      <c r="Z7">
        <f>DSUM(A1:L13,"ThanhTien",W1:W2)</f>
        <v>40723000</v>
      </c>
    </row>
    <row r="8">
      <c r="A8" t="str">
        <v>DH1079</v>
      </c>
      <c r="B8" t="str">
        <v>MB38</v>
      </c>
      <c r="C8">
        <v>10</v>
      </c>
      <c r="D8">
        <v>230000</v>
      </c>
      <c r="E8" s="1">
        <v>46297</v>
      </c>
      <c r="F8" s="1">
        <v>46303</v>
      </c>
      <c r="G8">
        <f>VALUE(RIGHT(A8,4))</f>
        <v>1079</v>
      </c>
      <c r="H8">
        <f>VLOOKUP(LEFT(B8,2),$R$2:$S$4,2,FALSE)</f>
        <v>0.05</v>
      </c>
      <c r="I8">
        <f>ROUND(C8*D8*(1-H8),0)</f>
        <v>2185000</v>
      </c>
      <c r="J8">
        <f>NETWORKDAYS(E8,F8)</f>
        <v>5</v>
      </c>
      <c r="K8">
        <f>WEEKDAY(E8,2)</f>
        <v>5</v>
      </c>
      <c r="L8" t="str">
        <f>IF(AND(J8&lt;=3,I8&gt;=1000000),"UU TIEN",IF(J8&lt;=5,"BINH THUONG","CHAM"))</f>
        <v>BINH THUONG</v>
      </c>
      <c r="Y8" t="str">
        <v>So don theo tieu chi W1:W2</v>
      </c>
      <c r="Z8">
        <f>DCOUNT(A1:L13,"ThanhTien",W1:W2)</f>
        <v>6</v>
      </c>
    </row>
    <row r="9">
      <c r="A9" t="str">
        <v>DH1100</v>
      </c>
      <c r="B9" t="str">
        <v>TV35</v>
      </c>
      <c r="C9">
        <v>11</v>
      </c>
      <c r="D9">
        <v>520000</v>
      </c>
      <c r="E9" s="1">
        <v>46299</v>
      </c>
      <c r="F9" s="1">
        <v>46304</v>
      </c>
      <c r="G9">
        <f>VALUE(RIGHT(A9,4))</f>
        <v>1100</v>
      </c>
      <c r="H9">
        <f>VLOOKUP(LEFT(B9,2),$R$2:$S$4,2,FALSE)</f>
        <v>0.1</v>
      </c>
      <c r="I9">
        <f>ROUND(C9*D9*(1-H9),0)</f>
        <v>5148000</v>
      </c>
      <c r="J9">
        <f>NETWORKDAYS(E9,F9)</f>
        <v>5</v>
      </c>
      <c r="K9">
        <f>WEEKDAY(E9,2)</f>
        <v>7</v>
      </c>
      <c r="L9" t="str">
        <f>IF(AND(J9&lt;=3,I9&gt;=1000000),"UU TIEN",IF(J9&lt;=5,"BINH THUONG","CHAM"))</f>
        <v>BINH THUONG</v>
      </c>
      <c r="Y9" t="str">
        <v>Tong ThanhTien don giao &gt;3 ngay</v>
      </c>
      <c r="Z9">
        <f>SUMPRODUCT((J2:J13&gt;3)*I2:I13)</f>
        <v>73428500</v>
      </c>
    </row>
    <row r="10">
      <c r="A10" t="str">
        <v>DH1104</v>
      </c>
      <c r="B10" t="str">
        <v>VP83</v>
      </c>
      <c r="C10">
        <v>14</v>
      </c>
      <c r="D10">
        <v>120000</v>
      </c>
      <c r="E10" s="1">
        <v>46312</v>
      </c>
      <c r="F10" s="1">
        <v>46315</v>
      </c>
      <c r="G10">
        <f>VALUE(RIGHT(A10,4))</f>
        <v>1104</v>
      </c>
      <c r="H10">
        <f>VLOOKUP(LEFT(B10,2),$R$2:$S$4,2,FALSE)</f>
        <v>0.15</v>
      </c>
      <c r="I10">
        <f>ROUND(C10*D10*(1-H10),0)</f>
        <v>1428000</v>
      </c>
      <c r="J10">
        <f>NETWORKDAYS(E10,F10)</f>
        <v>2</v>
      </c>
      <c r="K10">
        <f>WEEKDAY(E10,2)</f>
        <v>6</v>
      </c>
      <c r="L10" t="str">
        <f>IF(AND(J10&lt;=3,I10&gt;=1000000),"UU TIEN",IF(J10&lt;=5,"BINH THUONG","CHAM"))</f>
        <v>UU TIEN</v>
      </c>
      <c r="Y10" t="str">
        <v>Tong tien hang chua giam</v>
      </c>
      <c r="Z10">
        <f>SUMPRODUCT(C2:C13,D2:D13)</f>
        <v>84150000</v>
      </c>
    </row>
    <row r="11">
      <c r="A11" t="str">
        <v>DH1128</v>
      </c>
      <c r="B11" t="str">
        <v>VP16</v>
      </c>
      <c r="C11">
        <v>11</v>
      </c>
      <c r="D11">
        <v>140000</v>
      </c>
      <c r="E11" s="1">
        <v>46314</v>
      </c>
      <c r="F11" s="1">
        <v>46323</v>
      </c>
      <c r="G11">
        <f>VALUE(RIGHT(A11,4))</f>
        <v>1128</v>
      </c>
      <c r="H11">
        <f>VLOOKUP(LEFT(B11,2),$R$2:$S$4,2,FALSE)</f>
        <v>0.15</v>
      </c>
      <c r="I11">
        <f>ROUND(C11*D11*(1-H11),0)</f>
        <v>1309000</v>
      </c>
      <c r="J11">
        <f>NETWORKDAYS(E11,F11)</f>
        <v>8</v>
      </c>
      <c r="K11">
        <f>WEEKDAY(E11,2)</f>
        <v>1</v>
      </c>
      <c r="L11" t="str">
        <f>IF(AND(J11&lt;=3,I11&gt;=1000000),"UU TIEN",IF(J11&lt;=5,"BINH THUONG","CHAM"))</f>
        <v>CHAM</v>
      </c>
    </row>
    <row r="12">
      <c r="A12" t="str">
        <v>DH1134</v>
      </c>
      <c r="B12" t="str">
        <v>VP67</v>
      </c>
      <c r="C12">
        <v>26</v>
      </c>
      <c r="D12">
        <v>520000</v>
      </c>
      <c r="E12" s="1">
        <v>46297</v>
      </c>
      <c r="F12" s="1">
        <v>46304</v>
      </c>
      <c r="G12">
        <f>VALUE(RIGHT(A12,4))</f>
        <v>1134</v>
      </c>
      <c r="H12">
        <f>VLOOKUP(LEFT(B12,2),$R$2:$S$4,2,FALSE)</f>
        <v>0.15</v>
      </c>
      <c r="I12">
        <f>ROUND(C12*D12*(1-H12),0)</f>
        <v>11492000</v>
      </c>
      <c r="J12">
        <f>NETWORKDAYS(E12,F12)</f>
        <v>6</v>
      </c>
      <c r="K12">
        <f>WEEKDAY(E12,2)</f>
        <v>5</v>
      </c>
      <c r="L12" t="str">
        <f>IF(AND(J12&lt;=3,I12&gt;=1000000),"UU TIEN",IF(J12&lt;=5,"BINH THUONG","CHAM"))</f>
        <v>CHAM</v>
      </c>
    </row>
    <row r="13">
      <c r="A13" t="str">
        <v>DH1144</v>
      </c>
      <c r="B13" t="str">
        <v>VP41</v>
      </c>
      <c r="C13">
        <v>27</v>
      </c>
      <c r="D13">
        <v>580000</v>
      </c>
      <c r="E13" s="1">
        <v>46319</v>
      </c>
      <c r="F13" s="1">
        <v>46327</v>
      </c>
      <c r="G13">
        <f>VALUE(RIGHT(A13,4))</f>
        <v>1144</v>
      </c>
      <c r="H13">
        <f>VLOOKUP(LEFT(B13,2),$R$2:$S$4,2,FALSE)</f>
        <v>0.15</v>
      </c>
      <c r="I13">
        <f>ROUND(C13*D13*(1-H13),0)</f>
        <v>13311000</v>
      </c>
      <c r="J13">
        <f>NETWORKDAYS(E13,F13)</f>
        <v>5</v>
      </c>
      <c r="K13">
        <f>WEEKDAY(E13,2)</f>
        <v>6</v>
      </c>
      <c r="L13" t="str">
        <f>IF(AND(J13&lt;=3,I13&gt;=1000000),"UU TIEN",IF(J13&lt;=5,"BINH THUONG","CHAM"))</f>
        <v>BINH THUONG</v>
      </c>
    </row>
  </sheetData>
  <ignoredErrors>
    <ignoredError numberStoredAsText="1" sqref="A1:Z13"/>
  </ignoredErrors>
</worksheet>
</file>

<file path=xl/worksheets/sheet77.xml><?xml version="1.0" encoding="utf-8"?>
<worksheet xmlns="http://schemas.openxmlformats.org/spreadsheetml/2006/main" xmlns:r="http://schemas.openxmlformats.org/officeDocument/2006/relationships">
  <dimension ref="A1:E82"/>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v>1000</v>
      </c>
      <c r="C2">
        <f>'donhang'!G2</f>
      </c>
      <c r="D2">
        <f>IF(ISERROR(C2),LEFT(B2&amp;"",1)="#",IF(ISNUMBER(C2),AND(ISNUMBER(B2),ABS(C2-B2)&lt;=0.000001*MAX(1,ABS(B2))),EXACT(C2&amp;"",B2&amp;"")))</f>
      </c>
      <c r="E2">
        <f>ISERROR(C2)</f>
      </c>
    </row>
    <row r="3">
      <c r="A3" t="str">
        <v>G3</v>
      </c>
      <c r="B3">
        <v>1021</v>
      </c>
      <c r="C3">
        <f>'donhang'!G3</f>
      </c>
      <c r="D3">
        <f>IF(ISERROR(C3),LEFT(B3&amp;"",1)="#",IF(ISNUMBER(C3),AND(ISNUMBER(B3),ABS(C3-B3)&lt;=0.000001*MAX(1,ABS(B3))),EXACT(C3&amp;"",B3&amp;"")))</f>
      </c>
      <c r="E3">
        <f>ISERROR(C3)</f>
      </c>
    </row>
    <row r="4">
      <c r="A4" t="str">
        <v>G4</v>
      </c>
      <c r="B4">
        <v>1028</v>
      </c>
      <c r="C4">
        <f>'donhang'!G4</f>
      </c>
      <c r="D4">
        <f>IF(ISERROR(C4),LEFT(B4&amp;"",1)="#",IF(ISNUMBER(C4),AND(ISNUMBER(B4),ABS(C4-B4)&lt;=0.000001*MAX(1,ABS(B4))),EXACT(C4&amp;"",B4&amp;"")))</f>
      </c>
      <c r="E4">
        <f>ISERROR(C4)</f>
      </c>
    </row>
    <row r="5">
      <c r="A5" t="str">
        <v>G5</v>
      </c>
      <c r="B5">
        <v>1041</v>
      </c>
      <c r="C5">
        <f>'donhang'!G5</f>
      </c>
      <c r="D5">
        <f>IF(ISERROR(C5),LEFT(B5&amp;"",1)="#",IF(ISNUMBER(C5),AND(ISNUMBER(B5),ABS(C5-B5)&lt;=0.000001*MAX(1,ABS(B5))),EXACT(C5&amp;"",B5&amp;"")))</f>
      </c>
      <c r="E5">
        <f>ISERROR(C5)</f>
      </c>
    </row>
    <row r="6">
      <c r="A6" t="str">
        <v>G6</v>
      </c>
      <c r="B6">
        <v>1063</v>
      </c>
      <c r="C6">
        <f>'donhang'!G6</f>
      </c>
      <c r="D6">
        <f>IF(ISERROR(C6),LEFT(B6&amp;"",1)="#",IF(ISNUMBER(C6),AND(ISNUMBER(B6),ABS(C6-B6)&lt;=0.000001*MAX(1,ABS(B6))),EXACT(C6&amp;"",B6&amp;"")))</f>
      </c>
      <c r="E6">
        <f>ISERROR(C6)</f>
      </c>
    </row>
    <row r="7">
      <c r="A7" t="str">
        <v>G7</v>
      </c>
      <c r="B7">
        <v>1070</v>
      </c>
      <c r="C7">
        <f>'donhang'!G7</f>
      </c>
      <c r="D7">
        <f>IF(ISERROR(C7),LEFT(B7&amp;"",1)="#",IF(ISNUMBER(C7),AND(ISNUMBER(B7),ABS(C7-B7)&lt;=0.000001*MAX(1,ABS(B7))),EXACT(C7&amp;"",B7&amp;"")))</f>
      </c>
      <c r="E7">
        <f>ISERROR(C7)</f>
      </c>
    </row>
    <row r="8">
      <c r="A8" t="str">
        <v>G8</v>
      </c>
      <c r="B8">
        <v>1079</v>
      </c>
      <c r="C8">
        <f>'donhang'!G8</f>
      </c>
      <c r="D8">
        <f>IF(ISERROR(C8),LEFT(B8&amp;"",1)="#",IF(ISNUMBER(C8),AND(ISNUMBER(B8),ABS(C8-B8)&lt;=0.000001*MAX(1,ABS(B8))),EXACT(C8&amp;"",B8&amp;"")))</f>
      </c>
      <c r="E8">
        <f>ISERROR(C8)</f>
      </c>
    </row>
    <row r="9">
      <c r="A9" t="str">
        <v>G9</v>
      </c>
      <c r="B9">
        <v>1100</v>
      </c>
      <c r="C9">
        <f>'donhang'!G9</f>
      </c>
      <c r="D9">
        <f>IF(ISERROR(C9),LEFT(B9&amp;"",1)="#",IF(ISNUMBER(C9),AND(ISNUMBER(B9),ABS(C9-B9)&lt;=0.000001*MAX(1,ABS(B9))),EXACT(C9&amp;"",B9&amp;"")))</f>
      </c>
      <c r="E9">
        <f>ISERROR(C9)</f>
      </c>
    </row>
    <row r="10">
      <c r="A10" t="str">
        <v>G10</v>
      </c>
      <c r="B10">
        <v>1104</v>
      </c>
      <c r="C10">
        <f>'donhang'!G10</f>
      </c>
      <c r="D10">
        <f>IF(ISERROR(C10),LEFT(B10&amp;"",1)="#",IF(ISNUMBER(C10),AND(ISNUMBER(B10),ABS(C10-B10)&lt;=0.000001*MAX(1,ABS(B10))),EXACT(C10&amp;"",B10&amp;"")))</f>
      </c>
      <c r="E10">
        <f>ISERROR(C10)</f>
      </c>
    </row>
    <row r="11">
      <c r="A11" t="str">
        <v>G11</v>
      </c>
      <c r="B11">
        <v>1128</v>
      </c>
      <c r="C11">
        <f>'donhang'!G11</f>
      </c>
      <c r="D11">
        <f>IF(ISERROR(C11),LEFT(B11&amp;"",1)="#",IF(ISNUMBER(C11),AND(ISNUMBER(B11),ABS(C11-B11)&lt;=0.000001*MAX(1,ABS(B11))),EXACT(C11&amp;"",B11&amp;"")))</f>
      </c>
      <c r="E11">
        <f>ISERROR(C11)</f>
      </c>
    </row>
    <row r="12">
      <c r="A12" t="str">
        <v>G12</v>
      </c>
      <c r="B12">
        <v>1134</v>
      </c>
      <c r="C12">
        <f>'donhang'!G12</f>
      </c>
      <c r="D12">
        <f>IF(ISERROR(C12),LEFT(B12&amp;"",1)="#",IF(ISNUMBER(C12),AND(ISNUMBER(B12),ABS(C12-B12)&lt;=0.000001*MAX(1,ABS(B12))),EXACT(C12&amp;"",B12&amp;"")))</f>
      </c>
      <c r="E12">
        <f>ISERROR(C12)</f>
      </c>
    </row>
    <row r="13">
      <c r="A13" t="str">
        <v>G13</v>
      </c>
      <c r="B13">
        <v>1144</v>
      </c>
      <c r="C13">
        <f>'donhang'!G13</f>
      </c>
      <c r="D13">
        <f>IF(ISERROR(C13),LEFT(B13&amp;"",1)="#",IF(ISNUMBER(C13),AND(ISNUMBER(B13),ABS(C13-B13)&lt;=0.000001*MAX(1,ABS(B13))),EXACT(C13&amp;"",B13&amp;"")))</f>
      </c>
      <c r="E13">
        <f>ISERROR(C13)</f>
      </c>
    </row>
    <row r="14">
      <c r="A14" t="str">
        <v>H2</v>
      </c>
      <c r="B14">
        <v>0.15</v>
      </c>
      <c r="C14">
        <f>'donhang'!H2</f>
      </c>
      <c r="D14">
        <f>IF(ISERROR(C14),LEFT(B14&amp;"",1)="#",IF(ISNUMBER(C14),AND(ISNUMBER(B14),ABS(C14-B14)&lt;=0.000001*MAX(1,ABS(B14))),EXACT(C14&amp;"",B14&amp;"")))</f>
      </c>
      <c r="E14">
        <f>ISERROR(C14)</f>
      </c>
    </row>
    <row r="15">
      <c r="A15" t="str">
        <v>H3</v>
      </c>
      <c r="B15">
        <v>0.1</v>
      </c>
      <c r="C15">
        <f>'donhang'!H3</f>
      </c>
      <c r="D15">
        <f>IF(ISERROR(C15),LEFT(B15&amp;"",1)="#",IF(ISNUMBER(C15),AND(ISNUMBER(B15),ABS(C15-B15)&lt;=0.000001*MAX(1,ABS(B15))),EXACT(C15&amp;"",B15&amp;"")))</f>
      </c>
      <c r="E15">
        <f>ISERROR(C15)</f>
      </c>
    </row>
    <row r="16">
      <c r="A16" t="str">
        <v>H4</v>
      </c>
      <c r="B16">
        <v>0.05</v>
      </c>
      <c r="C16">
        <f>'donhang'!H4</f>
      </c>
      <c r="D16">
        <f>IF(ISERROR(C16),LEFT(B16&amp;"",1)="#",IF(ISNUMBER(C16),AND(ISNUMBER(B16),ABS(C16-B16)&lt;=0.000001*MAX(1,ABS(B16))),EXACT(C16&amp;"",B16&amp;"")))</f>
      </c>
      <c r="E16">
        <f>ISERROR(C16)</f>
      </c>
    </row>
    <row r="17">
      <c r="A17" t="str">
        <v>H5</v>
      </c>
      <c r="B17">
        <v>0.1</v>
      </c>
      <c r="C17">
        <f>'donhang'!H5</f>
      </c>
      <c r="D17">
        <f>IF(ISERROR(C17),LEFT(B17&amp;"",1)="#",IF(ISNUMBER(C17),AND(ISNUMBER(B17),ABS(C17-B17)&lt;=0.000001*MAX(1,ABS(B17))),EXACT(C17&amp;"",B17&amp;"")))</f>
      </c>
      <c r="E17">
        <f>ISERROR(C17)</f>
      </c>
    </row>
    <row r="18">
      <c r="A18" t="str">
        <v>H6</v>
      </c>
      <c r="B18">
        <v>0.05</v>
      </c>
      <c r="C18">
        <f>'donhang'!H6</f>
      </c>
      <c r="D18">
        <f>IF(ISERROR(C18),LEFT(B18&amp;"",1)="#",IF(ISNUMBER(C18),AND(ISNUMBER(B18),ABS(C18-B18)&lt;=0.000001*MAX(1,ABS(B18))),EXACT(C18&amp;"",B18&amp;"")))</f>
      </c>
      <c r="E18">
        <f>ISERROR(C18)</f>
      </c>
    </row>
    <row r="19">
      <c r="A19" t="str">
        <v>H7</v>
      </c>
      <c r="B19">
        <v>0.05</v>
      </c>
      <c r="C19">
        <f>'donhang'!H7</f>
      </c>
      <c r="D19">
        <f>IF(ISERROR(C19),LEFT(B19&amp;"",1)="#",IF(ISNUMBER(C19),AND(ISNUMBER(B19),ABS(C19-B19)&lt;=0.000001*MAX(1,ABS(B19))),EXACT(C19&amp;"",B19&amp;"")))</f>
      </c>
      <c r="E19">
        <f>ISERROR(C19)</f>
      </c>
    </row>
    <row r="20">
      <c r="A20" t="str">
        <v>H8</v>
      </c>
      <c r="B20">
        <v>0.05</v>
      </c>
      <c r="C20">
        <f>'donhang'!H8</f>
      </c>
      <c r="D20">
        <f>IF(ISERROR(C20),LEFT(B20&amp;"",1)="#",IF(ISNUMBER(C20),AND(ISNUMBER(B20),ABS(C20-B20)&lt;=0.000001*MAX(1,ABS(B20))),EXACT(C20&amp;"",B20&amp;"")))</f>
      </c>
      <c r="E20">
        <f>ISERROR(C20)</f>
      </c>
    </row>
    <row r="21">
      <c r="A21" t="str">
        <v>H9</v>
      </c>
      <c r="B21">
        <v>0.1</v>
      </c>
      <c r="C21">
        <f>'donhang'!H9</f>
      </c>
      <c r="D21">
        <f>IF(ISERROR(C21),LEFT(B21&amp;"",1)="#",IF(ISNUMBER(C21),AND(ISNUMBER(B21),ABS(C21-B21)&lt;=0.000001*MAX(1,ABS(B21))),EXACT(C21&amp;"",B21&amp;"")))</f>
      </c>
      <c r="E21">
        <f>ISERROR(C21)</f>
      </c>
    </row>
    <row r="22">
      <c r="A22" t="str">
        <v>H10</v>
      </c>
      <c r="B22">
        <v>0.15</v>
      </c>
      <c r="C22">
        <f>'donhang'!H10</f>
      </c>
      <c r="D22">
        <f>IF(ISERROR(C22),LEFT(B22&amp;"",1)="#",IF(ISNUMBER(C22),AND(ISNUMBER(B22),ABS(C22-B22)&lt;=0.000001*MAX(1,ABS(B22))),EXACT(C22&amp;"",B22&amp;"")))</f>
      </c>
      <c r="E22">
        <f>ISERROR(C22)</f>
      </c>
    </row>
    <row r="23">
      <c r="A23" t="str">
        <v>H11</v>
      </c>
      <c r="B23">
        <v>0.15</v>
      </c>
      <c r="C23">
        <f>'donhang'!H11</f>
      </c>
      <c r="D23">
        <f>IF(ISERROR(C23),LEFT(B23&amp;"",1)="#",IF(ISNUMBER(C23),AND(ISNUMBER(B23),ABS(C23-B23)&lt;=0.000001*MAX(1,ABS(B23))),EXACT(C23&amp;"",B23&amp;"")))</f>
      </c>
      <c r="E23">
        <f>ISERROR(C23)</f>
      </c>
    </row>
    <row r="24">
      <c r="A24" t="str">
        <v>H12</v>
      </c>
      <c r="B24">
        <v>0.15</v>
      </c>
      <c r="C24">
        <f>'donhang'!H12</f>
      </c>
      <c r="D24">
        <f>IF(ISERROR(C24),LEFT(B24&amp;"",1)="#",IF(ISNUMBER(C24),AND(ISNUMBER(B24),ABS(C24-B24)&lt;=0.000001*MAX(1,ABS(B24))),EXACT(C24&amp;"",B24&amp;"")))</f>
      </c>
      <c r="E24">
        <f>ISERROR(C24)</f>
      </c>
    </row>
    <row r="25">
      <c r="A25" t="str">
        <v>H13</v>
      </c>
      <c r="B25">
        <v>0.15</v>
      </c>
      <c r="C25">
        <f>'donhang'!H13</f>
      </c>
      <c r="D25">
        <f>IF(ISERROR(C25),LEFT(B25&amp;"",1)="#",IF(ISNUMBER(C25),AND(ISNUMBER(B25),ABS(C25-B25)&lt;=0.000001*MAX(1,ABS(B25))),EXACT(C25&amp;"",B25&amp;"")))</f>
      </c>
      <c r="E25">
        <f>ISERROR(C25)</f>
      </c>
    </row>
    <row r="26">
      <c r="A26" t="str">
        <v>I2</v>
      </c>
      <c r="B26">
        <v>9639000</v>
      </c>
      <c r="C26">
        <f>'donhang'!I2</f>
      </c>
      <c r="D26">
        <f>IF(ISERROR(C26),LEFT(B26&amp;"",1)="#",IF(ISNUMBER(C26),AND(ISNUMBER(B26),ABS(C26-B26)&lt;=0.000001*MAX(1,ABS(B26))),EXACT(C26&amp;"",B26&amp;"")))</f>
      </c>
      <c r="E26">
        <f>ISERROR(C26)</f>
      </c>
    </row>
    <row r="27">
      <c r="A27" t="str">
        <v>I3</v>
      </c>
      <c r="B27">
        <v>5400000</v>
      </c>
      <c r="C27">
        <f>'donhang'!I3</f>
      </c>
      <c r="D27">
        <f>IF(ISERROR(C27),LEFT(B27&amp;"",1)="#",IF(ISNUMBER(C27),AND(ISNUMBER(B27),ABS(C27-B27)&lt;=0.000001*MAX(1,ABS(B27))),EXACT(C27&amp;"",B27&amp;"")))</f>
      </c>
      <c r="E27">
        <f>ISERROR(C27)</f>
      </c>
    </row>
    <row r="28">
      <c r="A28" t="str">
        <v>I4</v>
      </c>
      <c r="B28">
        <v>13091000</v>
      </c>
      <c r="C28">
        <f>'donhang'!I4</f>
      </c>
      <c r="D28">
        <f>IF(ISERROR(C28),LEFT(B28&amp;"",1)="#",IF(ISNUMBER(C28),AND(ISNUMBER(B28),ABS(C28-B28)&lt;=0.000001*MAX(1,ABS(B28))),EXACT(C28&amp;"",B28&amp;"")))</f>
      </c>
      <c r="E28">
        <f>ISERROR(C28)</f>
      </c>
    </row>
    <row r="29">
      <c r="A29" t="str">
        <v>I5</v>
      </c>
      <c r="B29">
        <v>2268000</v>
      </c>
      <c r="C29">
        <f>'donhang'!I5</f>
      </c>
      <c r="D29">
        <f>IF(ISERROR(C29),LEFT(B29&amp;"",1)="#",IF(ISNUMBER(C29),AND(ISNUMBER(B29),ABS(C29-B29)&lt;=0.000001*MAX(1,ABS(B29))),EXACT(C29&amp;"",B29&amp;"")))</f>
      </c>
      <c r="E29">
        <f>ISERROR(C29)</f>
      </c>
    </row>
    <row r="30">
      <c r="A30" t="str">
        <v>I6</v>
      </c>
      <c r="B30">
        <v>2422500</v>
      </c>
      <c r="C30">
        <f>'donhang'!I6</f>
      </c>
      <c r="D30">
        <f>IF(ISERROR(C30),LEFT(B30&amp;"",1)="#",IF(ISNUMBER(C30),AND(ISNUMBER(B30),ABS(C30-B30)&lt;=0.000001*MAX(1,ABS(B30))),EXACT(C30&amp;"",B30&amp;"")))</f>
      </c>
      <c r="E30">
        <f>ISERROR(C30)</f>
      </c>
    </row>
    <row r="31">
      <c r="A31" t="str">
        <v>I7</v>
      </c>
      <c r="B31">
        <v>7163000</v>
      </c>
      <c r="C31">
        <f>'donhang'!I7</f>
      </c>
      <c r="D31">
        <f>IF(ISERROR(C31),LEFT(B31&amp;"",1)="#",IF(ISNUMBER(C31),AND(ISNUMBER(B31),ABS(C31-B31)&lt;=0.000001*MAX(1,ABS(B31))),EXACT(C31&amp;"",B31&amp;"")))</f>
      </c>
      <c r="E31">
        <f>ISERROR(C31)</f>
      </c>
    </row>
    <row r="32">
      <c r="A32" t="str">
        <v>I8</v>
      </c>
      <c r="B32">
        <v>2185000</v>
      </c>
      <c r="C32">
        <f>'donhang'!I8</f>
      </c>
      <c r="D32">
        <f>IF(ISERROR(C32),LEFT(B32&amp;"",1)="#",IF(ISNUMBER(C32),AND(ISNUMBER(B32),ABS(C32-B32)&lt;=0.000001*MAX(1,ABS(B32))),EXACT(C32&amp;"",B32&amp;"")))</f>
      </c>
      <c r="E32">
        <f>ISERROR(C32)</f>
      </c>
    </row>
    <row r="33">
      <c r="A33" t="str">
        <v>I9</v>
      </c>
      <c r="B33">
        <v>5148000</v>
      </c>
      <c r="C33">
        <f>'donhang'!I9</f>
      </c>
      <c r="D33">
        <f>IF(ISERROR(C33),LEFT(B33&amp;"",1)="#",IF(ISNUMBER(C33),AND(ISNUMBER(B33),ABS(C33-B33)&lt;=0.000001*MAX(1,ABS(B33))),EXACT(C33&amp;"",B33&amp;"")))</f>
      </c>
      <c r="E33">
        <f>ISERROR(C33)</f>
      </c>
    </row>
    <row r="34">
      <c r="A34" t="str">
        <v>I10</v>
      </c>
      <c r="B34">
        <v>1428000</v>
      </c>
      <c r="C34">
        <f>'donhang'!I10</f>
      </c>
      <c r="D34">
        <f>IF(ISERROR(C34),LEFT(B34&amp;"",1)="#",IF(ISNUMBER(C34),AND(ISNUMBER(B34),ABS(C34-B34)&lt;=0.000001*MAX(1,ABS(B34))),EXACT(C34&amp;"",B34&amp;"")))</f>
      </c>
      <c r="E34">
        <f>ISERROR(C34)</f>
      </c>
    </row>
    <row r="35">
      <c r="A35" t="str">
        <v>I11</v>
      </c>
      <c r="B35">
        <v>1309000</v>
      </c>
      <c r="C35">
        <f>'donhang'!I11</f>
      </c>
      <c r="D35">
        <f>IF(ISERROR(C35),LEFT(B35&amp;"",1)="#",IF(ISNUMBER(C35),AND(ISNUMBER(B35),ABS(C35-B35)&lt;=0.000001*MAX(1,ABS(B35))),EXACT(C35&amp;"",B35&amp;"")))</f>
      </c>
      <c r="E35">
        <f>ISERROR(C35)</f>
      </c>
    </row>
    <row r="36">
      <c r="A36" t="str">
        <v>I12</v>
      </c>
      <c r="B36">
        <v>11492000</v>
      </c>
      <c r="C36">
        <f>'donhang'!I12</f>
      </c>
      <c r="D36">
        <f>IF(ISERROR(C36),LEFT(B36&amp;"",1)="#",IF(ISNUMBER(C36),AND(ISNUMBER(B36),ABS(C36-B36)&lt;=0.000001*MAX(1,ABS(B36))),EXACT(C36&amp;"",B36&amp;"")))</f>
      </c>
      <c r="E36">
        <f>ISERROR(C36)</f>
      </c>
    </row>
    <row r="37">
      <c r="A37" t="str">
        <v>I13</v>
      </c>
      <c r="B37">
        <v>13311000</v>
      </c>
      <c r="C37">
        <f>'donhang'!I13</f>
      </c>
      <c r="D37">
        <f>IF(ISERROR(C37),LEFT(B37&amp;"",1)="#",IF(ISNUMBER(C37),AND(ISNUMBER(B37),ABS(C37-B37)&lt;=0.000001*MAX(1,ABS(B37))),EXACT(C37&amp;"",B37&amp;"")))</f>
      </c>
      <c r="E37">
        <f>ISERROR(C37)</f>
      </c>
    </row>
    <row r="38">
      <c r="A38" t="str">
        <v>J2</v>
      </c>
      <c r="B38">
        <v>4</v>
      </c>
      <c r="C38">
        <f>'donhang'!J2</f>
      </c>
      <c r="D38">
        <f>IF(ISERROR(C38),LEFT(B38&amp;"",1)="#",IF(ISNUMBER(C38),AND(ISNUMBER(B38),ABS(C38-B38)&lt;=0.000001*MAX(1,ABS(B38))),EXACT(C38&amp;"",B38&amp;"")))</f>
      </c>
      <c r="E38">
        <f>ISERROR(C38)</f>
      </c>
    </row>
    <row r="39">
      <c r="A39" t="str">
        <v>J3</v>
      </c>
      <c r="B39">
        <v>6</v>
      </c>
      <c r="C39">
        <f>'donhang'!J3</f>
      </c>
      <c r="D39">
        <f>IF(ISERROR(C39),LEFT(B39&amp;"",1)="#",IF(ISNUMBER(C39),AND(ISNUMBER(B39),ABS(C39-B39)&lt;=0.000001*MAX(1,ABS(B39))),EXACT(C39&amp;"",B39&amp;"")))</f>
      </c>
      <c r="E39">
        <f>ISERROR(C39)</f>
      </c>
    </row>
    <row r="40">
      <c r="A40" t="str">
        <v>J4</v>
      </c>
      <c r="B40">
        <v>7</v>
      </c>
      <c r="C40">
        <f>'donhang'!J4</f>
      </c>
      <c r="D40">
        <f>IF(ISERROR(C40),LEFT(B40&amp;"",1)="#",IF(ISNUMBER(C40),AND(ISNUMBER(B40),ABS(C40-B40)&lt;=0.000001*MAX(1,ABS(B40))),EXACT(C40&amp;"",B40&amp;"")))</f>
      </c>
      <c r="E40">
        <f>ISERROR(C40)</f>
      </c>
    </row>
    <row r="41">
      <c r="A41" t="str">
        <v>J5</v>
      </c>
      <c r="B41">
        <v>7</v>
      </c>
      <c r="C41">
        <f>'donhang'!J5</f>
      </c>
      <c r="D41">
        <f>IF(ISERROR(C41),LEFT(B41&amp;"",1)="#",IF(ISNUMBER(C41),AND(ISNUMBER(B41),ABS(C41-B41)&lt;=0.000001*MAX(1,ABS(B41))),EXACT(C41&amp;"",B41&amp;"")))</f>
      </c>
      <c r="E41">
        <f>ISERROR(C41)</f>
      </c>
    </row>
    <row r="42">
      <c r="A42" t="str">
        <v>J6</v>
      </c>
      <c r="B42">
        <v>4</v>
      </c>
      <c r="C42">
        <f>'donhang'!J6</f>
      </c>
      <c r="D42">
        <f>IF(ISERROR(C42),LEFT(B42&amp;"",1)="#",IF(ISNUMBER(C42),AND(ISNUMBER(B42),ABS(C42-B42)&lt;=0.000001*MAX(1,ABS(B42))),EXACT(C42&amp;"",B42&amp;"")))</f>
      </c>
      <c r="E42">
        <f>ISERROR(C42)</f>
      </c>
    </row>
    <row r="43">
      <c r="A43" t="str">
        <v>J7</v>
      </c>
      <c r="B43">
        <v>6</v>
      </c>
      <c r="C43">
        <f>'donhang'!J7</f>
      </c>
      <c r="D43">
        <f>IF(ISERROR(C43),LEFT(B43&amp;"",1)="#",IF(ISNUMBER(C43),AND(ISNUMBER(B43),ABS(C43-B43)&lt;=0.000001*MAX(1,ABS(B43))),EXACT(C43&amp;"",B43&amp;"")))</f>
      </c>
      <c r="E43">
        <f>ISERROR(C43)</f>
      </c>
    </row>
    <row r="44">
      <c r="A44" t="str">
        <v>J8</v>
      </c>
      <c r="B44">
        <v>5</v>
      </c>
      <c r="C44">
        <f>'donhang'!J8</f>
      </c>
      <c r="D44">
        <f>IF(ISERROR(C44),LEFT(B44&amp;"",1)="#",IF(ISNUMBER(C44),AND(ISNUMBER(B44),ABS(C44-B44)&lt;=0.000001*MAX(1,ABS(B44))),EXACT(C44&amp;"",B44&amp;"")))</f>
      </c>
      <c r="E44">
        <f>ISERROR(C44)</f>
      </c>
    </row>
    <row r="45">
      <c r="A45" t="str">
        <v>J9</v>
      </c>
      <c r="B45">
        <v>5</v>
      </c>
      <c r="C45">
        <f>'donhang'!J9</f>
      </c>
      <c r="D45">
        <f>IF(ISERROR(C45),LEFT(B45&amp;"",1)="#",IF(ISNUMBER(C45),AND(ISNUMBER(B45),ABS(C45-B45)&lt;=0.000001*MAX(1,ABS(B45))),EXACT(C45&amp;"",B45&amp;"")))</f>
      </c>
      <c r="E45">
        <f>ISERROR(C45)</f>
      </c>
    </row>
    <row r="46">
      <c r="A46" t="str">
        <v>J10</v>
      </c>
      <c r="B46">
        <v>2</v>
      </c>
      <c r="C46">
        <f>'donhang'!J10</f>
      </c>
      <c r="D46">
        <f>IF(ISERROR(C46),LEFT(B46&amp;"",1)="#",IF(ISNUMBER(C46),AND(ISNUMBER(B46),ABS(C46-B46)&lt;=0.000001*MAX(1,ABS(B46))),EXACT(C46&amp;"",B46&amp;"")))</f>
      </c>
      <c r="E46">
        <f>ISERROR(C46)</f>
      </c>
    </row>
    <row r="47">
      <c r="A47" t="str">
        <v>J11</v>
      </c>
      <c r="B47">
        <v>8</v>
      </c>
      <c r="C47">
        <f>'donhang'!J11</f>
      </c>
      <c r="D47">
        <f>IF(ISERROR(C47),LEFT(B47&amp;"",1)="#",IF(ISNUMBER(C47),AND(ISNUMBER(B47),ABS(C47-B47)&lt;=0.000001*MAX(1,ABS(B47))),EXACT(C47&amp;"",B47&amp;"")))</f>
      </c>
      <c r="E47">
        <f>ISERROR(C47)</f>
      </c>
    </row>
    <row r="48">
      <c r="A48" t="str">
        <v>J12</v>
      </c>
      <c r="B48">
        <v>6</v>
      </c>
      <c r="C48">
        <f>'donhang'!J12</f>
      </c>
      <c r="D48">
        <f>IF(ISERROR(C48),LEFT(B48&amp;"",1)="#",IF(ISNUMBER(C48),AND(ISNUMBER(B48),ABS(C48-B48)&lt;=0.000001*MAX(1,ABS(B48))),EXACT(C48&amp;"",B48&amp;"")))</f>
      </c>
      <c r="E48">
        <f>ISERROR(C48)</f>
      </c>
    </row>
    <row r="49">
      <c r="A49" t="str">
        <v>J13</v>
      </c>
      <c r="B49">
        <v>5</v>
      </c>
      <c r="C49">
        <f>'donhang'!J13</f>
      </c>
      <c r="D49">
        <f>IF(ISERROR(C49),LEFT(B49&amp;"",1)="#",IF(ISNUMBER(C49),AND(ISNUMBER(B49),ABS(C49-B49)&lt;=0.000001*MAX(1,ABS(B49))),EXACT(C49&amp;"",B49&amp;"")))</f>
      </c>
      <c r="E49">
        <f>ISERROR(C49)</f>
      </c>
    </row>
    <row r="50">
      <c r="A50" t="str">
        <v>K2</v>
      </c>
      <c r="B50">
        <v>6</v>
      </c>
      <c r="C50">
        <f>'donhang'!K2</f>
      </c>
      <c r="D50">
        <f>IF(ISERROR(C50),LEFT(B50&amp;"",1)="#",IF(ISNUMBER(C50),AND(ISNUMBER(B50),ABS(C50-B50)&lt;=0.000001*MAX(1,ABS(B50))),EXACT(C50&amp;"",B50&amp;"")))</f>
      </c>
      <c r="E50">
        <f>ISERROR(C50)</f>
      </c>
    </row>
    <row r="51">
      <c r="A51" t="str">
        <v>K3</v>
      </c>
      <c r="B51">
        <v>5</v>
      </c>
      <c r="C51">
        <f>'donhang'!K3</f>
      </c>
      <c r="D51">
        <f>IF(ISERROR(C51),LEFT(B51&amp;"",1)="#",IF(ISNUMBER(C51),AND(ISNUMBER(B51),ABS(C51-B51)&lt;=0.000001*MAX(1,ABS(B51))),EXACT(C51&amp;"",B51&amp;"")))</f>
      </c>
      <c r="E51">
        <f>ISERROR(C51)</f>
      </c>
    </row>
    <row r="52">
      <c r="A52" t="str">
        <v>K4</v>
      </c>
      <c r="B52">
        <v>2</v>
      </c>
      <c r="C52">
        <f>'donhang'!K4</f>
      </c>
      <c r="D52">
        <f>IF(ISERROR(C52),LEFT(B52&amp;"",1)="#",IF(ISNUMBER(C52),AND(ISNUMBER(B52),ABS(C52-B52)&lt;=0.000001*MAX(1,ABS(B52))),EXACT(C52&amp;"",B52&amp;"")))</f>
      </c>
      <c r="E52">
        <f>ISERROR(C52)</f>
      </c>
    </row>
    <row r="53">
      <c r="A53" t="str">
        <v>K5</v>
      </c>
      <c r="B53">
        <v>7</v>
      </c>
      <c r="C53">
        <f>'donhang'!K5</f>
      </c>
      <c r="D53">
        <f>IF(ISERROR(C53),LEFT(B53&amp;"",1)="#",IF(ISNUMBER(C53),AND(ISNUMBER(B53),ABS(C53-B53)&lt;=0.000001*MAX(1,ABS(B53))),EXACT(C53&amp;"",B53&amp;"")))</f>
      </c>
      <c r="E53">
        <f>ISERROR(C53)</f>
      </c>
    </row>
    <row r="54">
      <c r="A54" t="str">
        <v>K6</v>
      </c>
      <c r="B54">
        <v>2</v>
      </c>
      <c r="C54">
        <f>'donhang'!K6</f>
      </c>
      <c r="D54">
        <f>IF(ISERROR(C54),LEFT(B54&amp;"",1)="#",IF(ISNUMBER(C54),AND(ISNUMBER(B54),ABS(C54-B54)&lt;=0.000001*MAX(1,ABS(B54))),EXACT(C54&amp;"",B54&amp;"")))</f>
      </c>
      <c r="E54">
        <f>ISERROR(C54)</f>
      </c>
    </row>
    <row r="55">
      <c r="A55" t="str">
        <v>K7</v>
      </c>
      <c r="B55">
        <v>7</v>
      </c>
      <c r="C55">
        <f>'donhang'!K7</f>
      </c>
      <c r="D55">
        <f>IF(ISERROR(C55),LEFT(B55&amp;"",1)="#",IF(ISNUMBER(C55),AND(ISNUMBER(B55),ABS(C55-B55)&lt;=0.000001*MAX(1,ABS(B55))),EXACT(C55&amp;"",B55&amp;"")))</f>
      </c>
      <c r="E55">
        <f>ISERROR(C55)</f>
      </c>
    </row>
    <row r="56">
      <c r="A56" t="str">
        <v>K8</v>
      </c>
      <c r="B56">
        <v>5</v>
      </c>
      <c r="C56">
        <f>'donhang'!K8</f>
      </c>
      <c r="D56">
        <f>IF(ISERROR(C56),LEFT(B56&amp;"",1)="#",IF(ISNUMBER(C56),AND(ISNUMBER(B56),ABS(C56-B56)&lt;=0.000001*MAX(1,ABS(B56))),EXACT(C56&amp;"",B56&amp;"")))</f>
      </c>
      <c r="E56">
        <f>ISERROR(C56)</f>
      </c>
    </row>
    <row r="57">
      <c r="A57" t="str">
        <v>K9</v>
      </c>
      <c r="B57">
        <v>7</v>
      </c>
      <c r="C57">
        <f>'donhang'!K9</f>
      </c>
      <c r="D57">
        <f>IF(ISERROR(C57),LEFT(B57&amp;"",1)="#",IF(ISNUMBER(C57),AND(ISNUMBER(B57),ABS(C57-B57)&lt;=0.000001*MAX(1,ABS(B57))),EXACT(C57&amp;"",B57&amp;"")))</f>
      </c>
      <c r="E57">
        <f>ISERROR(C57)</f>
      </c>
    </row>
    <row r="58">
      <c r="A58" t="str">
        <v>K10</v>
      </c>
      <c r="B58">
        <v>6</v>
      </c>
      <c r="C58">
        <f>'donhang'!K10</f>
      </c>
      <c r="D58">
        <f>IF(ISERROR(C58),LEFT(B58&amp;"",1)="#",IF(ISNUMBER(C58),AND(ISNUMBER(B58),ABS(C58-B58)&lt;=0.000001*MAX(1,ABS(B58))),EXACT(C58&amp;"",B58&amp;"")))</f>
      </c>
      <c r="E58">
        <f>ISERROR(C58)</f>
      </c>
    </row>
    <row r="59">
      <c r="A59" t="str">
        <v>K11</v>
      </c>
      <c r="B59">
        <v>1</v>
      </c>
      <c r="C59">
        <f>'donhang'!K11</f>
      </c>
      <c r="D59">
        <f>IF(ISERROR(C59),LEFT(B59&amp;"",1)="#",IF(ISNUMBER(C59),AND(ISNUMBER(B59),ABS(C59-B59)&lt;=0.000001*MAX(1,ABS(B59))),EXACT(C59&amp;"",B59&amp;"")))</f>
      </c>
      <c r="E59">
        <f>ISERROR(C59)</f>
      </c>
    </row>
    <row r="60">
      <c r="A60" t="str">
        <v>K12</v>
      </c>
      <c r="B60">
        <v>5</v>
      </c>
      <c r="C60">
        <f>'donhang'!K12</f>
      </c>
      <c r="D60">
        <f>IF(ISERROR(C60),LEFT(B60&amp;"",1)="#",IF(ISNUMBER(C60),AND(ISNUMBER(B60),ABS(C60-B60)&lt;=0.000001*MAX(1,ABS(B60))),EXACT(C60&amp;"",B60&amp;"")))</f>
      </c>
      <c r="E60">
        <f>ISERROR(C60)</f>
      </c>
    </row>
    <row r="61">
      <c r="A61" t="str">
        <v>K13</v>
      </c>
      <c r="B61">
        <v>6</v>
      </c>
      <c r="C61">
        <f>'donhang'!K13</f>
      </c>
      <c r="D61">
        <f>IF(ISERROR(C61),LEFT(B61&amp;"",1)="#",IF(ISNUMBER(C61),AND(ISNUMBER(B61),ABS(C61-B61)&lt;=0.000001*MAX(1,ABS(B61))),EXACT(C61&amp;"",B61&amp;"")))</f>
      </c>
      <c r="E61">
        <f>ISERROR(C61)</f>
      </c>
    </row>
    <row r="62">
      <c r="A62" t="str">
        <v>L2</v>
      </c>
      <c r="B62" t="str">
        <v>BINH THUONG</v>
      </c>
      <c r="C62">
        <f>'donhang'!L2</f>
      </c>
      <c r="D62">
        <f>IF(ISERROR(C62),LEFT(B62&amp;"",1)="#",IF(ISNUMBER(C62),AND(ISNUMBER(B62),ABS(C62-B62)&lt;=0.000001*MAX(1,ABS(B62))),EXACT(C62&amp;"",B62&amp;"")))</f>
      </c>
      <c r="E62">
        <f>ISERROR(C62)</f>
      </c>
    </row>
    <row r="63">
      <c r="A63" t="str">
        <v>L3</v>
      </c>
      <c r="B63" t="str">
        <v>CHAM</v>
      </c>
      <c r="C63">
        <f>'donhang'!L3</f>
      </c>
      <c r="D63">
        <f>IF(ISERROR(C63),LEFT(B63&amp;"",1)="#",IF(ISNUMBER(C63),AND(ISNUMBER(B63),ABS(C63-B63)&lt;=0.000001*MAX(1,ABS(B63))),EXACT(C63&amp;"",B63&amp;"")))</f>
      </c>
      <c r="E63">
        <f>ISERROR(C63)</f>
      </c>
    </row>
    <row r="64">
      <c r="A64" t="str">
        <v>L4</v>
      </c>
      <c r="B64" t="str">
        <v>CHAM</v>
      </c>
      <c r="C64">
        <f>'donhang'!L4</f>
      </c>
      <c r="D64">
        <f>IF(ISERROR(C64),LEFT(B64&amp;"",1)="#",IF(ISNUMBER(C64),AND(ISNUMBER(B64),ABS(C64-B64)&lt;=0.000001*MAX(1,ABS(B64))),EXACT(C64&amp;"",B64&amp;"")))</f>
      </c>
      <c r="E64">
        <f>ISERROR(C64)</f>
      </c>
    </row>
    <row r="65">
      <c r="A65" t="str">
        <v>L5</v>
      </c>
      <c r="B65" t="str">
        <v>CHAM</v>
      </c>
      <c r="C65">
        <f>'donhang'!L5</f>
      </c>
      <c r="D65">
        <f>IF(ISERROR(C65),LEFT(B65&amp;"",1)="#",IF(ISNUMBER(C65),AND(ISNUMBER(B65),ABS(C65-B65)&lt;=0.000001*MAX(1,ABS(B65))),EXACT(C65&amp;"",B65&amp;"")))</f>
      </c>
      <c r="E65">
        <f>ISERROR(C65)</f>
      </c>
    </row>
    <row r="66">
      <c r="A66" t="str">
        <v>L6</v>
      </c>
      <c r="B66" t="str">
        <v>BINH THUONG</v>
      </c>
      <c r="C66">
        <f>'donhang'!L6</f>
      </c>
      <c r="D66">
        <f>IF(ISERROR(C66),LEFT(B66&amp;"",1)="#",IF(ISNUMBER(C66),AND(ISNUMBER(B66),ABS(C66-B66)&lt;=0.000001*MAX(1,ABS(B66))),EXACT(C66&amp;"",B66&amp;"")))</f>
      </c>
      <c r="E66">
        <f>ISERROR(C66)</f>
      </c>
    </row>
    <row r="67">
      <c r="A67" t="str">
        <v>L7</v>
      </c>
      <c r="B67" t="str">
        <v>CHAM</v>
      </c>
      <c r="C67">
        <f>'donhang'!L7</f>
      </c>
      <c r="D67">
        <f>IF(ISERROR(C67),LEFT(B67&amp;"",1)="#",IF(ISNUMBER(C67),AND(ISNUMBER(B67),ABS(C67-B67)&lt;=0.000001*MAX(1,ABS(B67))),EXACT(C67&amp;"",B67&amp;"")))</f>
      </c>
      <c r="E67">
        <f>ISERROR(C67)</f>
      </c>
    </row>
    <row r="68">
      <c r="A68" t="str">
        <v>L8</v>
      </c>
      <c r="B68" t="str">
        <v>BINH THUONG</v>
      </c>
      <c r="C68">
        <f>'donhang'!L8</f>
      </c>
      <c r="D68">
        <f>IF(ISERROR(C68),LEFT(B68&amp;"",1)="#",IF(ISNUMBER(C68),AND(ISNUMBER(B68),ABS(C68-B68)&lt;=0.000001*MAX(1,ABS(B68))),EXACT(C68&amp;"",B68&amp;"")))</f>
      </c>
      <c r="E68">
        <f>ISERROR(C68)</f>
      </c>
    </row>
    <row r="69">
      <c r="A69" t="str">
        <v>L9</v>
      </c>
      <c r="B69" t="str">
        <v>BINH THUONG</v>
      </c>
      <c r="C69">
        <f>'donhang'!L9</f>
      </c>
      <c r="D69">
        <f>IF(ISERROR(C69),LEFT(B69&amp;"",1)="#",IF(ISNUMBER(C69),AND(ISNUMBER(B69),ABS(C69-B69)&lt;=0.000001*MAX(1,ABS(B69))),EXACT(C69&amp;"",B69&amp;"")))</f>
      </c>
      <c r="E69">
        <f>ISERROR(C69)</f>
      </c>
    </row>
    <row r="70">
      <c r="A70" t="str">
        <v>L10</v>
      </c>
      <c r="B70" t="str">
        <v>UU TIEN</v>
      </c>
      <c r="C70">
        <f>'donhang'!L10</f>
      </c>
      <c r="D70">
        <f>IF(ISERROR(C70),LEFT(B70&amp;"",1)="#",IF(ISNUMBER(C70),AND(ISNUMBER(B70),ABS(C70-B70)&lt;=0.000001*MAX(1,ABS(B70))),EXACT(C70&amp;"",B70&amp;"")))</f>
      </c>
      <c r="E70">
        <f>ISERROR(C70)</f>
      </c>
    </row>
    <row r="71">
      <c r="A71" t="str">
        <v>L11</v>
      </c>
      <c r="B71" t="str">
        <v>CHAM</v>
      </c>
      <c r="C71">
        <f>'donhang'!L11</f>
      </c>
      <c r="D71">
        <f>IF(ISERROR(C71),LEFT(B71&amp;"",1)="#",IF(ISNUMBER(C71),AND(ISNUMBER(B71),ABS(C71-B71)&lt;=0.000001*MAX(1,ABS(B71))),EXACT(C71&amp;"",B71&amp;"")))</f>
      </c>
      <c r="E71">
        <f>ISERROR(C71)</f>
      </c>
    </row>
    <row r="72">
      <c r="A72" t="str">
        <v>L12</v>
      </c>
      <c r="B72" t="str">
        <v>CHAM</v>
      </c>
      <c r="C72">
        <f>'donhang'!L12</f>
      </c>
      <c r="D72">
        <f>IF(ISERROR(C72),LEFT(B72&amp;"",1)="#",IF(ISNUMBER(C72),AND(ISNUMBER(B72),ABS(C72-B72)&lt;=0.000001*MAX(1,ABS(B72))),EXACT(C72&amp;"",B72&amp;"")))</f>
      </c>
      <c r="E72">
        <f>ISERROR(C72)</f>
      </c>
    </row>
    <row r="73">
      <c r="A73" t="str">
        <v>L13</v>
      </c>
      <c r="B73" t="str">
        <v>BINH THUONG</v>
      </c>
      <c r="C73">
        <f>'donhang'!L13</f>
      </c>
      <c r="D73">
        <f>IF(ISERROR(C73),LEFT(B73&amp;"",1)="#",IF(ISNUMBER(C73),AND(ISNUMBER(B73),ABS(C73-B73)&lt;=0.000001*MAX(1,ABS(B73))),EXACT(C73&amp;"",B73&amp;"")))</f>
      </c>
      <c r="E73">
        <f>ISERROR(C73)</f>
      </c>
    </row>
    <row r="74">
      <c r="A74" t="str">
        <v>Z2</v>
      </c>
      <c r="B74" t="str">
        <v>DH1144</v>
      </c>
      <c r="C74">
        <f>'donhang'!Z2</f>
      </c>
      <c r="D74">
        <f>IF(ISERROR(C74),LEFT(B74&amp;"",1)="#",IF(ISNUMBER(C74),AND(ISNUMBER(B74),ABS(C74-B74)&lt;=0.000001*MAX(1,ABS(B74))),EXACT(C74&amp;"",B74&amp;"")))</f>
      </c>
      <c r="E74">
        <f>ISERROR(C74)</f>
      </c>
    </row>
    <row r="75">
      <c r="A75" t="str">
        <v>Z3</v>
      </c>
      <c r="B75">
        <v>40723000</v>
      </c>
      <c r="C75">
        <f>'donhang'!Z3</f>
      </c>
      <c r="D75">
        <f>IF(ISERROR(C75),LEFT(B75&amp;"",1)="#",IF(ISNUMBER(C75),AND(ISNUMBER(B75),ABS(C75-B75)&lt;=0.000001*MAX(1,ABS(B75))),EXACT(C75&amp;"",B75&amp;"")))</f>
      </c>
      <c r="E75">
        <f>ISERROR(C75)</f>
      </c>
    </row>
    <row r="76">
      <c r="A76" t="str">
        <v>Z4</v>
      </c>
      <c r="B76">
        <v>9</v>
      </c>
      <c r="C76">
        <f>'donhang'!Z4</f>
      </c>
      <c r="D76">
        <f>IF(ISERROR(C76),LEFT(B76&amp;"",1)="#",IF(ISNUMBER(C76),AND(ISNUMBER(B76),ABS(C76-B76)&lt;=0.000001*MAX(1,ABS(B76))),EXACT(C76&amp;"",B76&amp;"")))</f>
      </c>
      <c r="E76">
        <f>ISERROR(C76)</f>
      </c>
    </row>
    <row r="77">
      <c r="A77" t="str">
        <v>Z5</v>
      </c>
      <c r="B77">
        <v>6675318.181818182</v>
      </c>
      <c r="C77">
        <f>'donhang'!Z5</f>
      </c>
      <c r="D77">
        <f>IF(ISERROR(C77),LEFT(B77&amp;"",1)="#",IF(ISNUMBER(C77),AND(ISNUMBER(B77),ABS(C77-B77)&lt;=0.000001*MAX(1,ABS(B77))),EXACT(C77&amp;"",B77&amp;"")))</f>
      </c>
      <c r="E77">
        <f>ISERROR(C77)</f>
      </c>
    </row>
    <row r="78">
      <c r="A78" t="str">
        <v>Z6</v>
      </c>
      <c r="B78">
        <v>13311000</v>
      </c>
      <c r="C78">
        <f>'donhang'!Z6</f>
      </c>
      <c r="D78">
        <f>IF(ISERROR(C78),LEFT(B78&amp;"",1)="#",IF(ISNUMBER(C78),AND(ISNUMBER(B78),ABS(C78-B78)&lt;=0.000001*MAX(1,ABS(B78))),EXACT(C78&amp;"",B78&amp;"")))</f>
      </c>
      <c r="E78">
        <f>ISERROR(C78)</f>
      </c>
    </row>
    <row r="79">
      <c r="A79" t="str">
        <v>Z7</v>
      </c>
      <c r="B79">
        <v>40723000</v>
      </c>
      <c r="C79">
        <f>'donhang'!Z7</f>
      </c>
      <c r="D79">
        <f>IF(ISERROR(C79),LEFT(B79&amp;"",1)="#",IF(ISNUMBER(C79),AND(ISNUMBER(B79),ABS(C79-B79)&lt;=0.000001*MAX(1,ABS(B79))),EXACT(C79&amp;"",B79&amp;"")))</f>
      </c>
      <c r="E79">
        <f>ISERROR(C79)</f>
      </c>
    </row>
    <row r="80">
      <c r="A80" t="str">
        <v>Z8</v>
      </c>
      <c r="B80">
        <v>6</v>
      </c>
      <c r="C80">
        <f>'donhang'!Z8</f>
      </c>
      <c r="D80">
        <f>IF(ISERROR(C80),LEFT(B80&amp;"",1)="#",IF(ISNUMBER(C80),AND(ISNUMBER(B80),ABS(C80-B80)&lt;=0.000001*MAX(1,ABS(B80))),EXACT(C80&amp;"",B80&amp;"")))</f>
      </c>
      <c r="E80">
        <f>ISERROR(C80)</f>
      </c>
    </row>
    <row r="81">
      <c r="A81" t="str">
        <v>Z9</v>
      </c>
      <c r="B81">
        <v>73428500</v>
      </c>
      <c r="C81">
        <f>'donhang'!Z9</f>
      </c>
      <c r="D81">
        <f>IF(ISERROR(C81),LEFT(B81&amp;"",1)="#",IF(ISNUMBER(C81),AND(ISNUMBER(B81),ABS(C81-B81)&lt;=0.000001*MAX(1,ABS(B81))),EXACT(C81&amp;"",B81&amp;"")))</f>
      </c>
      <c r="E81">
        <f>ISERROR(C81)</f>
      </c>
    </row>
    <row r="82">
      <c r="A82" t="str">
        <v>Z10</v>
      </c>
      <c r="B82">
        <v>84150000</v>
      </c>
      <c r="C82">
        <f>'donhang'!Z10</f>
      </c>
      <c r="D82">
        <f>IF(ISERROR(C82),LEFT(B82&amp;"",1)="#",IF(ISNUMBER(C82),AND(ISNUMBER(B82),ABS(C82-B82)&lt;=0.000001*MAX(1,ABS(B82))),EXACT(C82&amp;"",B82&amp;"")))</f>
      </c>
      <c r="E82">
        <f>ISERROR(C82)</f>
      </c>
    </row>
  </sheetData>
  <ignoredErrors>
    <ignoredError numberStoredAsText="1" sqref="A1:E82"/>
  </ignoredErrors>
</worksheet>
</file>

<file path=xl/worksheets/sheet7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MaSV</v>
      </c>
      <c r="B1" t="str">
        <v>Lop</v>
      </c>
      <c r="C1" t="str">
        <v>DiemCC</v>
      </c>
      <c r="D1" t="str">
        <v>DiemGK</v>
      </c>
      <c r="E1" t="str">
        <v>DiemCK</v>
      </c>
      <c r="F1" t="str">
        <v>SoBuoiVang</v>
      </c>
      <c r="G1" t="str">
        <v>NgayNop</v>
      </c>
      <c r="H1" t="str">
        <v>Khoa</v>
      </c>
      <c r="I1" t="str">
        <v>STT</v>
      </c>
      <c r="J1" t="str">
        <v>TenKhoa</v>
      </c>
      <c r="K1" t="str">
        <v>SoNgayTre</v>
      </c>
      <c r="L1" t="str">
        <v>DiemTB</v>
      </c>
      <c r="M1" t="str">
        <v>XepLoai</v>
      </c>
      <c r="N1" t="str">
        <v>HocBong</v>
      </c>
      <c r="R1" t="str">
        <v>Khoa</v>
      </c>
      <c r="S1" t="str">
        <v>TenKhoa</v>
      </c>
      <c r="T1" t="str">
        <v>HanNop</v>
      </c>
      <c r="U1" s="1">
        <v>46315</v>
      </c>
      <c r="W1" t="str">
        <v>Khoa</v>
      </c>
      <c r="Y1" t="str">
        <v>TongHop</v>
      </c>
      <c r="Z1" t="str">
        <v>KetQua</v>
      </c>
    </row>
    <row r="2">
      <c r="A2" t="str">
        <v>SV26001</v>
      </c>
      <c r="B2" t="str">
        <v>KT01</v>
      </c>
      <c r="C2">
        <v>10</v>
      </c>
      <c r="D2">
        <v>9</v>
      </c>
      <c r="E2">
        <v>9.5</v>
      </c>
      <c r="F2">
        <v>0</v>
      </c>
      <c r="G2" s="1">
        <v>46320</v>
      </c>
      <c r="H2" t="str">
        <f>LEFT(B2,2)</f>
        <v>KT</v>
      </c>
      <c r="I2">
        <f>VALUE(RIGHT(A2,3))</f>
        <v>1</v>
      </c>
      <c r="J2" t="str">
        <f>VLOOKUP(H2,$R$2:$S$4,2,FALSE)</f>
        <v>Kinh te</v>
      </c>
      <c r="K2">
        <f>MAX(0,G2-$U$1)</f>
        <v>5</v>
      </c>
      <c r="L2">
        <f>ROUND(C2*0.2+D2*0.3+E2*0.5,1)</f>
        <v>9.5</v>
      </c>
      <c r="M2" t="str">
        <f>IF(L2&gt;=8,"GIOI",IF(L2&gt;=6.5,"KHA",IF(L2&gt;=5,"TB","YEU")))</f>
        <v>GIOI</v>
      </c>
      <c r="N2" t="str">
        <f>IF(AND(L2&gt;=8,F2&lt;=1),"CO","KHONG")</f>
        <v>CO</v>
      </c>
      <c r="R2" t="str">
        <v>KT</v>
      </c>
      <c r="S2" t="str">
        <v>Kinh te</v>
      </c>
      <c r="W2" t="str">
        <v>KT</v>
      </c>
      <c r="Y2" t="str">
        <v>Ma SV co DiemTB cao nhat</v>
      </c>
      <c r="Z2" t="str">
        <f>INDEX(A2:A13,MATCH(MAX(L2:L13),L2:L13,0))</f>
        <v>SV26001</v>
      </c>
    </row>
    <row r="3">
      <c r="A3" t="str">
        <v>SV26002</v>
      </c>
      <c r="B3" t="str">
        <v>TH02</v>
      </c>
      <c r="C3">
        <v>5</v>
      </c>
      <c r="D3">
        <v>9</v>
      </c>
      <c r="E3">
        <v>5</v>
      </c>
      <c r="F3">
        <v>3</v>
      </c>
      <c r="G3" s="1">
        <v>46315</v>
      </c>
      <c r="H3" t="str">
        <f>LEFT(B3,2)</f>
        <v>TH</v>
      </c>
      <c r="I3">
        <f>VALUE(RIGHT(A3,3))</f>
        <v>2</v>
      </c>
      <c r="J3" t="str">
        <f>VLOOKUP(H3,$R$2:$S$4,2,FALSE)</f>
        <v>Tin hoc</v>
      </c>
      <c r="K3">
        <f>MAX(0,G3-$U$1)</f>
        <v>0</v>
      </c>
      <c r="L3">
        <f>ROUND(C3*0.2+D3*0.3+E3*0.5,1)</f>
        <v>6.2</v>
      </c>
      <c r="M3" t="str">
        <f>IF(L3&gt;=8,"GIOI",IF(L3&gt;=6.5,"KHA",IF(L3&gt;=5,"TB","YEU")))</f>
        <v>TB</v>
      </c>
      <c r="N3" t="str">
        <f>IF(AND(L3&gt;=8,F3&lt;=1),"CO","KHONG")</f>
        <v>KHONG</v>
      </c>
      <c r="R3" t="str">
        <v>TH</v>
      </c>
      <c r="S3" t="str">
        <v>Tin hoc</v>
      </c>
      <c r="Y3" t="str">
        <v>So SV khoa KT xep loai GIOI</v>
      </c>
      <c r="Z3">
        <f>COUNTIFS(H2:H13,"KT",M2:M13,"GIOI")</f>
        <v>3</v>
      </c>
    </row>
    <row r="4">
      <c r="A4" t="str">
        <v>SV26003</v>
      </c>
      <c r="B4" t="str">
        <v>NN01</v>
      </c>
      <c r="C4">
        <v>7</v>
      </c>
      <c r="D4">
        <v>9</v>
      </c>
      <c r="E4">
        <v>8.5</v>
      </c>
      <c r="F4">
        <v>4</v>
      </c>
      <c r="G4" s="1">
        <v>46319</v>
      </c>
      <c r="H4" t="str">
        <f>LEFT(B4,2)</f>
        <v>NN</v>
      </c>
      <c r="I4">
        <f>VALUE(RIGHT(A4,3))</f>
        <v>3</v>
      </c>
      <c r="J4" t="str">
        <f>VLOOKUP(H4,$R$2:$S$4,2,FALSE)</f>
        <v>Ngoai ngu</v>
      </c>
      <c r="K4">
        <f>MAX(0,G4-$U$1)</f>
        <v>4</v>
      </c>
      <c r="L4">
        <f>ROUND(C4*0.2+D4*0.3+E4*0.5,1)</f>
        <v>8.4</v>
      </c>
      <c r="M4" t="str">
        <f>IF(L4&gt;=8,"GIOI",IF(L4&gt;=6.5,"KHA",IF(L4&gt;=5,"TB","YEU")))</f>
        <v>GIOI</v>
      </c>
      <c r="N4" t="str">
        <f>IF(AND(L4&gt;=8,F4&lt;=1),"CO","KHONG")</f>
        <v>KHONG</v>
      </c>
      <c r="R4" t="str">
        <v>NN</v>
      </c>
      <c r="S4" t="str">
        <v>Ngoai ngu</v>
      </c>
      <c r="Y4" t="str">
        <v>DiemTB trung binh khoa TH</v>
      </c>
      <c r="Z4">
        <f>AVERAGEIF(H2:H13,"TH",L2:L13)</f>
        <v>7.800000000000001</v>
      </c>
    </row>
    <row r="5">
      <c r="A5" t="str">
        <v>SV26004</v>
      </c>
      <c r="B5" t="str">
        <v>KT02</v>
      </c>
      <c r="C5">
        <v>10</v>
      </c>
      <c r="D5">
        <v>5</v>
      </c>
      <c r="E5">
        <v>9.5</v>
      </c>
      <c r="F5">
        <v>4</v>
      </c>
      <c r="G5" s="1">
        <v>46315</v>
      </c>
      <c r="H5" t="str">
        <f>LEFT(B5,2)</f>
        <v>KT</v>
      </c>
      <c r="I5">
        <f>VALUE(RIGHT(A5,3))</f>
        <v>4</v>
      </c>
      <c r="J5" t="str">
        <f>VLOOKUP(H5,$R$2:$S$4,2,FALSE)</f>
        <v>Kinh te</v>
      </c>
      <c r="K5">
        <f>MAX(0,G5-$U$1)</f>
        <v>0</v>
      </c>
      <c r="L5">
        <f>ROUND(C5*0.2+D5*0.3+E5*0.5,1)</f>
        <v>8.3</v>
      </c>
      <c r="M5" t="str">
        <f>IF(L5&gt;=8,"GIOI",IF(L5&gt;=6.5,"KHA",IF(L5&gt;=5,"TB","YEU")))</f>
        <v>GIOI</v>
      </c>
      <c r="N5" t="str">
        <f>IF(AND(L5&gt;=8,F5&lt;=1),"CO","KHONG")</f>
        <v>KHONG</v>
      </c>
      <c r="Y5" t="str">
        <v>DiemTB cao nhat khoa NN</v>
      </c>
      <c r="Z5">
        <f>_xlfn.MAXIFS(L2:L13,H2:H13,"NN")</f>
        <v>8.4</v>
      </c>
    </row>
    <row r="6">
      <c r="A6" t="str">
        <v>SV26005</v>
      </c>
      <c r="B6" t="str">
        <v>NN03</v>
      </c>
      <c r="C6">
        <v>8</v>
      </c>
      <c r="D6">
        <v>4.5</v>
      </c>
      <c r="E6">
        <v>4.5</v>
      </c>
      <c r="F6">
        <v>2</v>
      </c>
      <c r="G6" s="1">
        <v>46318</v>
      </c>
      <c r="H6" t="str">
        <f>LEFT(B6,2)</f>
        <v>NN</v>
      </c>
      <c r="I6">
        <f>VALUE(RIGHT(A6,3))</f>
        <v>5</v>
      </c>
      <c r="J6" t="str">
        <f>VLOOKUP(H6,$R$2:$S$4,2,FALSE)</f>
        <v>Ngoai ngu</v>
      </c>
      <c r="K6">
        <f>MAX(0,G6-$U$1)</f>
        <v>3</v>
      </c>
      <c r="L6">
        <f>ROUND(C6*0.2+D6*0.3+E6*0.5,1)</f>
        <v>5.2</v>
      </c>
      <c r="M6" t="str">
        <f>IF(L6&gt;=8,"GIOI",IF(L6&gt;=6.5,"KHA",IF(L6&gt;=5,"TB","YEU")))</f>
        <v>TB</v>
      </c>
      <c r="N6" t="str">
        <f>IF(AND(L6&gt;=8,F6&lt;=1),"CO","KHONG")</f>
        <v>KHONG</v>
      </c>
      <c r="Y6" t="str">
        <v>So SV nop tre</v>
      </c>
      <c r="Z6">
        <f>COUNTIF(K2:K13,"&gt;0")</f>
        <v>6</v>
      </c>
    </row>
    <row r="7">
      <c r="A7" t="str">
        <v>SV26006</v>
      </c>
      <c r="B7" t="str">
        <v>TH03</v>
      </c>
      <c r="C7">
        <v>9</v>
      </c>
      <c r="D7">
        <v>9.5</v>
      </c>
      <c r="E7">
        <v>9.5</v>
      </c>
      <c r="F7">
        <v>3</v>
      </c>
      <c r="G7" s="1">
        <v>46314</v>
      </c>
      <c r="H7" t="str">
        <f>LEFT(B7,2)</f>
        <v>TH</v>
      </c>
      <c r="I7">
        <f>VALUE(RIGHT(A7,3))</f>
        <v>6</v>
      </c>
      <c r="J7" t="str">
        <f>VLOOKUP(H7,$R$2:$S$4,2,FALSE)</f>
        <v>Tin hoc</v>
      </c>
      <c r="K7">
        <f>MAX(0,G7-$U$1)</f>
        <v>0</v>
      </c>
      <c r="L7">
        <f>ROUND(C7*0.2+D7*0.3+E7*0.5,1)</f>
        <v>9.4</v>
      </c>
      <c r="M7" t="str">
        <f>IF(L7&gt;=8,"GIOI",IF(L7&gt;=6.5,"KHA",IF(L7&gt;=5,"TB","YEU")))</f>
        <v>GIOI</v>
      </c>
      <c r="N7" t="str">
        <f>IF(AND(L7&gt;=8,F7&lt;=1),"CO","KHONG")</f>
        <v>KHONG</v>
      </c>
      <c r="Y7" t="str">
        <v>DiemTB TB theo tieu chi W1:W2</v>
      </c>
      <c r="Z7">
        <f>DAVERAGE(A1:N13,"DiemTB",W1:W2)</f>
        <v>7.55</v>
      </c>
    </row>
    <row r="8">
      <c r="A8" t="str">
        <v>SV26007</v>
      </c>
      <c r="B8" t="str">
        <v>KT03</v>
      </c>
      <c r="C8">
        <v>7</v>
      </c>
      <c r="D8">
        <v>5.5</v>
      </c>
      <c r="E8">
        <v>3</v>
      </c>
      <c r="F8">
        <v>3</v>
      </c>
      <c r="G8" s="1">
        <v>46315</v>
      </c>
      <c r="H8" t="str">
        <f>LEFT(B8,2)</f>
        <v>KT</v>
      </c>
      <c r="I8">
        <f>VALUE(RIGHT(A8,3))</f>
        <v>7</v>
      </c>
      <c r="J8" t="str">
        <f>VLOOKUP(H8,$R$2:$S$4,2,FALSE)</f>
        <v>Kinh te</v>
      </c>
      <c r="K8">
        <f>MAX(0,G8-$U$1)</f>
        <v>0</v>
      </c>
      <c r="L8">
        <f>ROUND(C8*0.2+D8*0.3+E8*0.5,1)</f>
        <v>4.6</v>
      </c>
      <c r="M8" t="str">
        <f>IF(L8&gt;=8,"GIOI",IF(L8&gt;=6.5,"KHA",IF(L8&gt;=5,"TB","YEU")))</f>
        <v>YEU</v>
      </c>
      <c r="N8" t="str">
        <f>IF(AND(L8&gt;=8,F8&lt;=1),"CO","KHONG")</f>
        <v>KHONG</v>
      </c>
      <c r="Y8" t="str">
        <v>So SV theo tieu chi W1:W2</v>
      </c>
      <c r="Z8">
        <f>DCOUNT(A1:N13,"DiemTB",W1:W2)</f>
        <v>6</v>
      </c>
    </row>
    <row r="9">
      <c r="A9" t="str">
        <v>SV26008</v>
      </c>
      <c r="B9" t="str">
        <v>NN02</v>
      </c>
      <c r="C9">
        <v>7</v>
      </c>
      <c r="D9">
        <v>6</v>
      </c>
      <c r="E9">
        <v>3.5</v>
      </c>
      <c r="F9">
        <v>2</v>
      </c>
      <c r="G9" s="1">
        <v>46315</v>
      </c>
      <c r="H9" t="str">
        <f>LEFT(B9,2)</f>
        <v>NN</v>
      </c>
      <c r="I9">
        <f>VALUE(RIGHT(A9,3))</f>
        <v>8</v>
      </c>
      <c r="J9" t="str">
        <f>VLOOKUP(H9,$R$2:$S$4,2,FALSE)</f>
        <v>Ngoai ngu</v>
      </c>
      <c r="K9">
        <f>MAX(0,G9-$U$1)</f>
        <v>0</v>
      </c>
      <c r="L9">
        <f>ROUND(C9*0.2+D9*0.3+E9*0.5,1)</f>
        <v>5</v>
      </c>
      <c r="M9" t="str">
        <f>IF(L9&gt;=8,"GIOI",IF(L9&gt;=6.5,"KHA",IF(L9&gt;=5,"TB","YEU")))</f>
        <v>TB</v>
      </c>
      <c r="N9" t="str">
        <f>IF(AND(L9&gt;=8,F9&lt;=1),"CO","KHONG")</f>
        <v>KHONG</v>
      </c>
      <c r="Y9" t="str">
        <v>So SV khoa KT co DiemTB &gt;= 8</v>
      </c>
      <c r="Z9">
        <f>SUMPRODUCT((H2:H13="KT")*(L2:L13&gt;=8))</f>
        <v>3</v>
      </c>
    </row>
    <row r="10">
      <c r="A10" t="str">
        <v>SV26009</v>
      </c>
      <c r="B10" t="str">
        <v>KT01</v>
      </c>
      <c r="C10">
        <v>10</v>
      </c>
      <c r="D10">
        <v>6.5</v>
      </c>
      <c r="E10">
        <v>7.5</v>
      </c>
      <c r="F10">
        <v>1</v>
      </c>
      <c r="G10" s="1">
        <v>46320</v>
      </c>
      <c r="H10" t="str">
        <f>LEFT(B10,2)</f>
        <v>KT</v>
      </c>
      <c r="I10">
        <f>VALUE(RIGHT(A10,3))</f>
        <v>9</v>
      </c>
      <c r="J10" t="str">
        <f>VLOOKUP(H10,$R$2:$S$4,2,FALSE)</f>
        <v>Kinh te</v>
      </c>
      <c r="K10">
        <f>MAX(0,G10-$U$1)</f>
        <v>5</v>
      </c>
      <c r="L10">
        <f>ROUND(C10*0.2+D10*0.3+E10*0.5,1)</f>
        <v>7.7</v>
      </c>
      <c r="M10" t="str">
        <f>IF(L10&gt;=8,"GIOI",IF(L10&gt;=6.5,"KHA",IF(L10&gt;=5,"TB","YEU")))</f>
        <v>KHA</v>
      </c>
      <c r="N10" t="str">
        <f>IF(AND(L10&gt;=8,F10&lt;=1),"CO","KHONG")</f>
        <v>KHONG</v>
      </c>
      <c r="Y10" t="str">
        <v>So SV xep loai GIOI</v>
      </c>
      <c r="Z10">
        <f>SUMPRODUCT((M2:M13="GIOI")*1)</f>
        <v>5</v>
      </c>
    </row>
    <row r="11">
      <c r="A11" t="str">
        <v>SV26010</v>
      </c>
      <c r="B11" t="str">
        <v>NN01</v>
      </c>
      <c r="C11">
        <v>5</v>
      </c>
      <c r="D11">
        <v>6</v>
      </c>
      <c r="E11">
        <v>8</v>
      </c>
      <c r="F11">
        <v>4</v>
      </c>
      <c r="G11" s="1">
        <v>46313</v>
      </c>
      <c r="H11" t="str">
        <f>LEFT(B11,2)</f>
        <v>NN</v>
      </c>
      <c r="I11">
        <f>VALUE(RIGHT(A11,3))</f>
        <v>10</v>
      </c>
      <c r="J11" t="str">
        <f>VLOOKUP(H11,$R$2:$S$4,2,FALSE)</f>
        <v>Ngoai ngu</v>
      </c>
      <c r="K11">
        <f>MAX(0,G11-$U$1)</f>
        <v>0</v>
      </c>
      <c r="L11">
        <f>ROUND(C11*0.2+D11*0.3+E11*0.5,1)</f>
        <v>6.8</v>
      </c>
      <c r="M11" t="str">
        <f>IF(L11&gt;=8,"GIOI",IF(L11&gt;=6.5,"KHA",IF(L11&gt;=5,"TB","YEU")))</f>
        <v>KHA</v>
      </c>
      <c r="N11" t="str">
        <f>IF(AND(L11&gt;=8,F11&lt;=1),"CO","KHONG")</f>
        <v>KHONG</v>
      </c>
    </row>
    <row r="12">
      <c r="A12" t="str">
        <v>SV26011</v>
      </c>
      <c r="B12" t="str">
        <v>KT01</v>
      </c>
      <c r="C12">
        <v>6</v>
      </c>
      <c r="D12">
        <v>9</v>
      </c>
      <c r="E12">
        <v>3.5</v>
      </c>
      <c r="F12">
        <v>3</v>
      </c>
      <c r="G12" s="1">
        <v>46318</v>
      </c>
      <c r="H12" t="str">
        <f>LEFT(B12,2)</f>
        <v>KT</v>
      </c>
      <c r="I12">
        <f>VALUE(RIGHT(A12,3))</f>
        <v>11</v>
      </c>
      <c r="J12" t="str">
        <f>VLOOKUP(H12,$R$2:$S$4,2,FALSE)</f>
        <v>Kinh te</v>
      </c>
      <c r="K12">
        <f>MAX(0,G12-$U$1)</f>
        <v>3</v>
      </c>
      <c r="L12">
        <f>ROUND(C12*0.2+D12*0.3+E12*0.5,1)</f>
        <v>5.7</v>
      </c>
      <c r="M12" t="str">
        <f>IF(L12&gt;=8,"GIOI",IF(L12&gt;=6.5,"KHA",IF(L12&gt;=5,"TB","YEU")))</f>
        <v>TB</v>
      </c>
      <c r="N12" t="str">
        <f>IF(AND(L12&gt;=8,F12&lt;=1),"CO","KHONG")</f>
        <v>KHONG</v>
      </c>
    </row>
    <row r="13">
      <c r="A13" t="str">
        <v>SV26012</v>
      </c>
      <c r="B13" t="str">
        <v>KT01</v>
      </c>
      <c r="C13">
        <v>10</v>
      </c>
      <c r="D13">
        <v>9</v>
      </c>
      <c r="E13">
        <v>9.5</v>
      </c>
      <c r="F13">
        <v>4</v>
      </c>
      <c r="G13" s="1">
        <v>46316</v>
      </c>
      <c r="H13" t="str">
        <f>LEFT(B13,2)</f>
        <v>KT</v>
      </c>
      <c r="I13">
        <f>VALUE(RIGHT(A13,3))</f>
        <v>12</v>
      </c>
      <c r="J13" t="str">
        <f>VLOOKUP(H13,$R$2:$S$4,2,FALSE)</f>
        <v>Kinh te</v>
      </c>
      <c r="K13">
        <f>MAX(0,G13-$U$1)</f>
        <v>1</v>
      </c>
      <c r="L13">
        <f>ROUND(C13*0.2+D13*0.3+E13*0.5,1)</f>
        <v>9.5</v>
      </c>
      <c r="M13" t="str">
        <f>IF(L13&gt;=8,"GIOI",IF(L13&gt;=6.5,"KHA",IF(L13&gt;=5,"TB","YEU")))</f>
        <v>GIOI</v>
      </c>
      <c r="N13" t="str">
        <f>IF(AND(L13&gt;=8,F13&lt;=1),"CO","KHONG")</f>
        <v>KHONG</v>
      </c>
    </row>
  </sheetData>
  <ignoredErrors>
    <ignoredError numberStoredAsText="1" sqref="A1:Z13"/>
  </ignoredErrors>
</worksheet>
</file>

<file path=xl/worksheets/sheet79.xml><?xml version="1.0" encoding="utf-8"?>
<worksheet xmlns="http://schemas.openxmlformats.org/spreadsheetml/2006/main" xmlns:r="http://schemas.openxmlformats.org/officeDocument/2006/relationships">
  <dimension ref="A1:E9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H2</v>
      </c>
      <c r="B2" t="str">
        <v>KT</v>
      </c>
      <c r="C2">
        <f>'diem'!H2</f>
      </c>
      <c r="D2">
        <f>IF(ISERROR(C2),LEFT(B2&amp;"",1)="#",IF(ISNUMBER(C2),AND(ISNUMBER(B2),ABS(C2-B2)&lt;=0.000001*MAX(1,ABS(B2))),EXACT(C2&amp;"",B2&amp;"")))</f>
      </c>
      <c r="E2">
        <f>ISERROR(C2)</f>
      </c>
    </row>
    <row r="3">
      <c r="A3" t="str">
        <v>H3</v>
      </c>
      <c r="B3" t="str">
        <v>TH</v>
      </c>
      <c r="C3">
        <f>'diem'!H3</f>
      </c>
      <c r="D3">
        <f>IF(ISERROR(C3),LEFT(B3&amp;"",1)="#",IF(ISNUMBER(C3),AND(ISNUMBER(B3),ABS(C3-B3)&lt;=0.000001*MAX(1,ABS(B3))),EXACT(C3&amp;"",B3&amp;"")))</f>
      </c>
      <c r="E3">
        <f>ISERROR(C3)</f>
      </c>
    </row>
    <row r="4">
      <c r="A4" t="str">
        <v>H4</v>
      </c>
      <c r="B4" t="str">
        <v>NN</v>
      </c>
      <c r="C4">
        <f>'diem'!H4</f>
      </c>
      <c r="D4">
        <f>IF(ISERROR(C4),LEFT(B4&amp;"",1)="#",IF(ISNUMBER(C4),AND(ISNUMBER(B4),ABS(C4-B4)&lt;=0.000001*MAX(1,ABS(B4))),EXACT(C4&amp;"",B4&amp;"")))</f>
      </c>
      <c r="E4">
        <f>ISERROR(C4)</f>
      </c>
    </row>
    <row r="5">
      <c r="A5" t="str">
        <v>H5</v>
      </c>
      <c r="B5" t="str">
        <v>KT</v>
      </c>
      <c r="C5">
        <f>'diem'!H5</f>
      </c>
      <c r="D5">
        <f>IF(ISERROR(C5),LEFT(B5&amp;"",1)="#",IF(ISNUMBER(C5),AND(ISNUMBER(B5),ABS(C5-B5)&lt;=0.000001*MAX(1,ABS(B5))),EXACT(C5&amp;"",B5&amp;"")))</f>
      </c>
      <c r="E5">
        <f>ISERROR(C5)</f>
      </c>
    </row>
    <row r="6">
      <c r="A6" t="str">
        <v>H6</v>
      </c>
      <c r="B6" t="str">
        <v>NN</v>
      </c>
      <c r="C6">
        <f>'diem'!H6</f>
      </c>
      <c r="D6">
        <f>IF(ISERROR(C6),LEFT(B6&amp;"",1)="#",IF(ISNUMBER(C6),AND(ISNUMBER(B6),ABS(C6-B6)&lt;=0.000001*MAX(1,ABS(B6))),EXACT(C6&amp;"",B6&amp;"")))</f>
      </c>
      <c r="E6">
        <f>ISERROR(C6)</f>
      </c>
    </row>
    <row r="7">
      <c r="A7" t="str">
        <v>H7</v>
      </c>
      <c r="B7" t="str">
        <v>TH</v>
      </c>
      <c r="C7">
        <f>'diem'!H7</f>
      </c>
      <c r="D7">
        <f>IF(ISERROR(C7),LEFT(B7&amp;"",1)="#",IF(ISNUMBER(C7),AND(ISNUMBER(B7),ABS(C7-B7)&lt;=0.000001*MAX(1,ABS(B7))),EXACT(C7&amp;"",B7&amp;"")))</f>
      </c>
      <c r="E7">
        <f>ISERROR(C7)</f>
      </c>
    </row>
    <row r="8">
      <c r="A8" t="str">
        <v>H8</v>
      </c>
      <c r="B8" t="str">
        <v>KT</v>
      </c>
      <c r="C8">
        <f>'diem'!H8</f>
      </c>
      <c r="D8">
        <f>IF(ISERROR(C8),LEFT(B8&amp;"",1)="#",IF(ISNUMBER(C8),AND(ISNUMBER(B8),ABS(C8-B8)&lt;=0.000001*MAX(1,ABS(B8))),EXACT(C8&amp;"",B8&amp;"")))</f>
      </c>
      <c r="E8">
        <f>ISERROR(C8)</f>
      </c>
    </row>
    <row r="9">
      <c r="A9" t="str">
        <v>H9</v>
      </c>
      <c r="B9" t="str">
        <v>NN</v>
      </c>
      <c r="C9">
        <f>'diem'!H9</f>
      </c>
      <c r="D9">
        <f>IF(ISERROR(C9),LEFT(B9&amp;"",1)="#",IF(ISNUMBER(C9),AND(ISNUMBER(B9),ABS(C9-B9)&lt;=0.000001*MAX(1,ABS(B9))),EXACT(C9&amp;"",B9&amp;"")))</f>
      </c>
      <c r="E9">
        <f>ISERROR(C9)</f>
      </c>
    </row>
    <row r="10">
      <c r="A10" t="str">
        <v>H10</v>
      </c>
      <c r="B10" t="str">
        <v>KT</v>
      </c>
      <c r="C10">
        <f>'diem'!H10</f>
      </c>
      <c r="D10">
        <f>IF(ISERROR(C10),LEFT(B10&amp;"",1)="#",IF(ISNUMBER(C10),AND(ISNUMBER(B10),ABS(C10-B10)&lt;=0.000001*MAX(1,ABS(B10))),EXACT(C10&amp;"",B10&amp;"")))</f>
      </c>
      <c r="E10">
        <f>ISERROR(C10)</f>
      </c>
    </row>
    <row r="11">
      <c r="A11" t="str">
        <v>H11</v>
      </c>
      <c r="B11" t="str">
        <v>NN</v>
      </c>
      <c r="C11">
        <f>'diem'!H11</f>
      </c>
      <c r="D11">
        <f>IF(ISERROR(C11),LEFT(B11&amp;"",1)="#",IF(ISNUMBER(C11),AND(ISNUMBER(B11),ABS(C11-B11)&lt;=0.000001*MAX(1,ABS(B11))),EXACT(C11&amp;"",B11&amp;"")))</f>
      </c>
      <c r="E11">
        <f>ISERROR(C11)</f>
      </c>
    </row>
    <row r="12">
      <c r="A12" t="str">
        <v>H12</v>
      </c>
      <c r="B12" t="str">
        <v>KT</v>
      </c>
      <c r="C12">
        <f>'diem'!H12</f>
      </c>
      <c r="D12">
        <f>IF(ISERROR(C12),LEFT(B12&amp;"",1)="#",IF(ISNUMBER(C12),AND(ISNUMBER(B12),ABS(C12-B12)&lt;=0.000001*MAX(1,ABS(B12))),EXACT(C12&amp;"",B12&amp;"")))</f>
      </c>
      <c r="E12">
        <f>ISERROR(C12)</f>
      </c>
    </row>
    <row r="13">
      <c r="A13" t="str">
        <v>H13</v>
      </c>
      <c r="B13" t="str">
        <v>KT</v>
      </c>
      <c r="C13">
        <f>'diem'!H13</f>
      </c>
      <c r="D13">
        <f>IF(ISERROR(C13),LEFT(B13&amp;"",1)="#",IF(ISNUMBER(C13),AND(ISNUMBER(B13),ABS(C13-B13)&lt;=0.000001*MAX(1,ABS(B13))),EXACT(C13&amp;"",B13&amp;"")))</f>
      </c>
      <c r="E13">
        <f>ISERROR(C13)</f>
      </c>
    </row>
    <row r="14">
      <c r="A14" t="str">
        <v>I2</v>
      </c>
      <c r="B14">
        <v>1</v>
      </c>
      <c r="C14">
        <f>'diem'!I2</f>
      </c>
      <c r="D14">
        <f>IF(ISERROR(C14),LEFT(B14&amp;"",1)="#",IF(ISNUMBER(C14),AND(ISNUMBER(B14),ABS(C14-B14)&lt;=0.000001*MAX(1,ABS(B14))),EXACT(C14&amp;"",B14&amp;"")))</f>
      </c>
      <c r="E14">
        <f>ISERROR(C14)</f>
      </c>
    </row>
    <row r="15">
      <c r="A15" t="str">
        <v>I3</v>
      </c>
      <c r="B15">
        <v>2</v>
      </c>
      <c r="C15">
        <f>'diem'!I3</f>
      </c>
      <c r="D15">
        <f>IF(ISERROR(C15),LEFT(B15&amp;"",1)="#",IF(ISNUMBER(C15),AND(ISNUMBER(B15),ABS(C15-B15)&lt;=0.000001*MAX(1,ABS(B15))),EXACT(C15&amp;"",B15&amp;"")))</f>
      </c>
      <c r="E15">
        <f>ISERROR(C15)</f>
      </c>
    </row>
    <row r="16">
      <c r="A16" t="str">
        <v>I4</v>
      </c>
      <c r="B16">
        <v>3</v>
      </c>
      <c r="C16">
        <f>'diem'!I4</f>
      </c>
      <c r="D16">
        <f>IF(ISERROR(C16),LEFT(B16&amp;"",1)="#",IF(ISNUMBER(C16),AND(ISNUMBER(B16),ABS(C16-B16)&lt;=0.000001*MAX(1,ABS(B16))),EXACT(C16&amp;"",B16&amp;"")))</f>
      </c>
      <c r="E16">
        <f>ISERROR(C16)</f>
      </c>
    </row>
    <row r="17">
      <c r="A17" t="str">
        <v>I5</v>
      </c>
      <c r="B17">
        <v>4</v>
      </c>
      <c r="C17">
        <f>'diem'!I5</f>
      </c>
      <c r="D17">
        <f>IF(ISERROR(C17),LEFT(B17&amp;"",1)="#",IF(ISNUMBER(C17),AND(ISNUMBER(B17),ABS(C17-B17)&lt;=0.000001*MAX(1,ABS(B17))),EXACT(C17&amp;"",B17&amp;"")))</f>
      </c>
      <c r="E17">
        <f>ISERROR(C17)</f>
      </c>
    </row>
    <row r="18">
      <c r="A18" t="str">
        <v>I6</v>
      </c>
      <c r="B18">
        <v>5</v>
      </c>
      <c r="C18">
        <f>'diem'!I6</f>
      </c>
      <c r="D18">
        <f>IF(ISERROR(C18),LEFT(B18&amp;"",1)="#",IF(ISNUMBER(C18),AND(ISNUMBER(B18),ABS(C18-B18)&lt;=0.000001*MAX(1,ABS(B18))),EXACT(C18&amp;"",B18&amp;"")))</f>
      </c>
      <c r="E18">
        <f>ISERROR(C18)</f>
      </c>
    </row>
    <row r="19">
      <c r="A19" t="str">
        <v>I7</v>
      </c>
      <c r="B19">
        <v>6</v>
      </c>
      <c r="C19">
        <f>'diem'!I7</f>
      </c>
      <c r="D19">
        <f>IF(ISERROR(C19),LEFT(B19&amp;"",1)="#",IF(ISNUMBER(C19),AND(ISNUMBER(B19),ABS(C19-B19)&lt;=0.000001*MAX(1,ABS(B19))),EXACT(C19&amp;"",B19&amp;"")))</f>
      </c>
      <c r="E19">
        <f>ISERROR(C19)</f>
      </c>
    </row>
    <row r="20">
      <c r="A20" t="str">
        <v>I8</v>
      </c>
      <c r="B20">
        <v>7</v>
      </c>
      <c r="C20">
        <f>'diem'!I8</f>
      </c>
      <c r="D20">
        <f>IF(ISERROR(C20),LEFT(B20&amp;"",1)="#",IF(ISNUMBER(C20),AND(ISNUMBER(B20),ABS(C20-B20)&lt;=0.000001*MAX(1,ABS(B20))),EXACT(C20&amp;"",B20&amp;"")))</f>
      </c>
      <c r="E20">
        <f>ISERROR(C20)</f>
      </c>
    </row>
    <row r="21">
      <c r="A21" t="str">
        <v>I9</v>
      </c>
      <c r="B21">
        <v>8</v>
      </c>
      <c r="C21">
        <f>'diem'!I9</f>
      </c>
      <c r="D21">
        <f>IF(ISERROR(C21),LEFT(B21&amp;"",1)="#",IF(ISNUMBER(C21),AND(ISNUMBER(B21),ABS(C21-B21)&lt;=0.000001*MAX(1,ABS(B21))),EXACT(C21&amp;"",B21&amp;"")))</f>
      </c>
      <c r="E21">
        <f>ISERROR(C21)</f>
      </c>
    </row>
    <row r="22">
      <c r="A22" t="str">
        <v>I10</v>
      </c>
      <c r="B22">
        <v>9</v>
      </c>
      <c r="C22">
        <f>'diem'!I10</f>
      </c>
      <c r="D22">
        <f>IF(ISERROR(C22),LEFT(B22&amp;"",1)="#",IF(ISNUMBER(C22),AND(ISNUMBER(B22),ABS(C22-B22)&lt;=0.000001*MAX(1,ABS(B22))),EXACT(C22&amp;"",B22&amp;"")))</f>
      </c>
      <c r="E22">
        <f>ISERROR(C22)</f>
      </c>
    </row>
    <row r="23">
      <c r="A23" t="str">
        <v>I11</v>
      </c>
      <c r="B23">
        <v>10</v>
      </c>
      <c r="C23">
        <f>'diem'!I11</f>
      </c>
      <c r="D23">
        <f>IF(ISERROR(C23),LEFT(B23&amp;"",1)="#",IF(ISNUMBER(C23),AND(ISNUMBER(B23),ABS(C23-B23)&lt;=0.000001*MAX(1,ABS(B23))),EXACT(C23&amp;"",B23&amp;"")))</f>
      </c>
      <c r="E23">
        <f>ISERROR(C23)</f>
      </c>
    </row>
    <row r="24">
      <c r="A24" t="str">
        <v>I12</v>
      </c>
      <c r="B24">
        <v>11</v>
      </c>
      <c r="C24">
        <f>'diem'!I12</f>
      </c>
      <c r="D24">
        <f>IF(ISERROR(C24),LEFT(B24&amp;"",1)="#",IF(ISNUMBER(C24),AND(ISNUMBER(B24),ABS(C24-B24)&lt;=0.000001*MAX(1,ABS(B24))),EXACT(C24&amp;"",B24&amp;"")))</f>
      </c>
      <c r="E24">
        <f>ISERROR(C24)</f>
      </c>
    </row>
    <row r="25">
      <c r="A25" t="str">
        <v>I13</v>
      </c>
      <c r="B25">
        <v>12</v>
      </c>
      <c r="C25">
        <f>'diem'!I13</f>
      </c>
      <c r="D25">
        <f>IF(ISERROR(C25),LEFT(B25&amp;"",1)="#",IF(ISNUMBER(C25),AND(ISNUMBER(B25),ABS(C25-B25)&lt;=0.000001*MAX(1,ABS(B25))),EXACT(C25&amp;"",B25&amp;"")))</f>
      </c>
      <c r="E25">
        <f>ISERROR(C25)</f>
      </c>
    </row>
    <row r="26">
      <c r="A26" t="str">
        <v>J2</v>
      </c>
      <c r="B26" t="str">
        <v>Kinh te</v>
      </c>
      <c r="C26">
        <f>'diem'!J2</f>
      </c>
      <c r="D26">
        <f>IF(ISERROR(C26),LEFT(B26&amp;"",1)="#",IF(ISNUMBER(C26),AND(ISNUMBER(B26),ABS(C26-B26)&lt;=0.000001*MAX(1,ABS(B26))),EXACT(C26&amp;"",B26&amp;"")))</f>
      </c>
      <c r="E26">
        <f>ISERROR(C26)</f>
      </c>
    </row>
    <row r="27">
      <c r="A27" t="str">
        <v>J3</v>
      </c>
      <c r="B27" t="str">
        <v>Tin hoc</v>
      </c>
      <c r="C27">
        <f>'diem'!J3</f>
      </c>
      <c r="D27">
        <f>IF(ISERROR(C27),LEFT(B27&amp;"",1)="#",IF(ISNUMBER(C27),AND(ISNUMBER(B27),ABS(C27-B27)&lt;=0.000001*MAX(1,ABS(B27))),EXACT(C27&amp;"",B27&amp;"")))</f>
      </c>
      <c r="E27">
        <f>ISERROR(C27)</f>
      </c>
    </row>
    <row r="28">
      <c r="A28" t="str">
        <v>J4</v>
      </c>
      <c r="B28" t="str">
        <v>Ngoai ngu</v>
      </c>
      <c r="C28">
        <f>'diem'!J4</f>
      </c>
      <c r="D28">
        <f>IF(ISERROR(C28),LEFT(B28&amp;"",1)="#",IF(ISNUMBER(C28),AND(ISNUMBER(B28),ABS(C28-B28)&lt;=0.000001*MAX(1,ABS(B28))),EXACT(C28&amp;"",B28&amp;"")))</f>
      </c>
      <c r="E28">
        <f>ISERROR(C28)</f>
      </c>
    </row>
    <row r="29">
      <c r="A29" t="str">
        <v>J5</v>
      </c>
      <c r="B29" t="str">
        <v>Kinh te</v>
      </c>
      <c r="C29">
        <f>'diem'!J5</f>
      </c>
      <c r="D29">
        <f>IF(ISERROR(C29),LEFT(B29&amp;"",1)="#",IF(ISNUMBER(C29),AND(ISNUMBER(B29),ABS(C29-B29)&lt;=0.000001*MAX(1,ABS(B29))),EXACT(C29&amp;"",B29&amp;"")))</f>
      </c>
      <c r="E29">
        <f>ISERROR(C29)</f>
      </c>
    </row>
    <row r="30">
      <c r="A30" t="str">
        <v>J6</v>
      </c>
      <c r="B30" t="str">
        <v>Ngoai ngu</v>
      </c>
      <c r="C30">
        <f>'diem'!J6</f>
      </c>
      <c r="D30">
        <f>IF(ISERROR(C30),LEFT(B30&amp;"",1)="#",IF(ISNUMBER(C30),AND(ISNUMBER(B30),ABS(C30-B30)&lt;=0.000001*MAX(1,ABS(B30))),EXACT(C30&amp;"",B30&amp;"")))</f>
      </c>
      <c r="E30">
        <f>ISERROR(C30)</f>
      </c>
    </row>
    <row r="31">
      <c r="A31" t="str">
        <v>J7</v>
      </c>
      <c r="B31" t="str">
        <v>Tin hoc</v>
      </c>
      <c r="C31">
        <f>'diem'!J7</f>
      </c>
      <c r="D31">
        <f>IF(ISERROR(C31),LEFT(B31&amp;"",1)="#",IF(ISNUMBER(C31),AND(ISNUMBER(B31),ABS(C31-B31)&lt;=0.000001*MAX(1,ABS(B31))),EXACT(C31&amp;"",B31&amp;"")))</f>
      </c>
      <c r="E31">
        <f>ISERROR(C31)</f>
      </c>
    </row>
    <row r="32">
      <c r="A32" t="str">
        <v>J8</v>
      </c>
      <c r="B32" t="str">
        <v>Kinh te</v>
      </c>
      <c r="C32">
        <f>'diem'!J8</f>
      </c>
      <c r="D32">
        <f>IF(ISERROR(C32),LEFT(B32&amp;"",1)="#",IF(ISNUMBER(C32),AND(ISNUMBER(B32),ABS(C32-B32)&lt;=0.000001*MAX(1,ABS(B32))),EXACT(C32&amp;"",B32&amp;"")))</f>
      </c>
      <c r="E32">
        <f>ISERROR(C32)</f>
      </c>
    </row>
    <row r="33">
      <c r="A33" t="str">
        <v>J9</v>
      </c>
      <c r="B33" t="str">
        <v>Ngoai ngu</v>
      </c>
      <c r="C33">
        <f>'diem'!J9</f>
      </c>
      <c r="D33">
        <f>IF(ISERROR(C33),LEFT(B33&amp;"",1)="#",IF(ISNUMBER(C33),AND(ISNUMBER(B33),ABS(C33-B33)&lt;=0.000001*MAX(1,ABS(B33))),EXACT(C33&amp;"",B33&amp;"")))</f>
      </c>
      <c r="E33">
        <f>ISERROR(C33)</f>
      </c>
    </row>
    <row r="34">
      <c r="A34" t="str">
        <v>J10</v>
      </c>
      <c r="B34" t="str">
        <v>Kinh te</v>
      </c>
      <c r="C34">
        <f>'diem'!J10</f>
      </c>
      <c r="D34">
        <f>IF(ISERROR(C34),LEFT(B34&amp;"",1)="#",IF(ISNUMBER(C34),AND(ISNUMBER(B34),ABS(C34-B34)&lt;=0.000001*MAX(1,ABS(B34))),EXACT(C34&amp;"",B34&amp;"")))</f>
      </c>
      <c r="E34">
        <f>ISERROR(C34)</f>
      </c>
    </row>
    <row r="35">
      <c r="A35" t="str">
        <v>J11</v>
      </c>
      <c r="B35" t="str">
        <v>Ngoai ngu</v>
      </c>
      <c r="C35">
        <f>'diem'!J11</f>
      </c>
      <c r="D35">
        <f>IF(ISERROR(C35),LEFT(B35&amp;"",1)="#",IF(ISNUMBER(C35),AND(ISNUMBER(B35),ABS(C35-B35)&lt;=0.000001*MAX(1,ABS(B35))),EXACT(C35&amp;"",B35&amp;"")))</f>
      </c>
      <c r="E35">
        <f>ISERROR(C35)</f>
      </c>
    </row>
    <row r="36">
      <c r="A36" t="str">
        <v>J12</v>
      </c>
      <c r="B36" t="str">
        <v>Kinh te</v>
      </c>
      <c r="C36">
        <f>'diem'!J12</f>
      </c>
      <c r="D36">
        <f>IF(ISERROR(C36),LEFT(B36&amp;"",1)="#",IF(ISNUMBER(C36),AND(ISNUMBER(B36),ABS(C36-B36)&lt;=0.000001*MAX(1,ABS(B36))),EXACT(C36&amp;"",B36&amp;"")))</f>
      </c>
      <c r="E36">
        <f>ISERROR(C36)</f>
      </c>
    </row>
    <row r="37">
      <c r="A37" t="str">
        <v>J13</v>
      </c>
      <c r="B37" t="str">
        <v>Kinh te</v>
      </c>
      <c r="C37">
        <f>'diem'!J13</f>
      </c>
      <c r="D37">
        <f>IF(ISERROR(C37),LEFT(B37&amp;"",1)="#",IF(ISNUMBER(C37),AND(ISNUMBER(B37),ABS(C37-B37)&lt;=0.000001*MAX(1,ABS(B37))),EXACT(C37&amp;"",B37&amp;"")))</f>
      </c>
      <c r="E37">
        <f>ISERROR(C37)</f>
      </c>
    </row>
    <row r="38">
      <c r="A38" t="str">
        <v>K2</v>
      </c>
      <c r="B38">
        <v>5</v>
      </c>
      <c r="C38">
        <f>'diem'!K2</f>
      </c>
      <c r="D38">
        <f>IF(ISERROR(C38),LEFT(B38&amp;"",1)="#",IF(ISNUMBER(C38),AND(ISNUMBER(B38),ABS(C38-B38)&lt;=0.000001*MAX(1,ABS(B38))),EXACT(C38&amp;"",B38&amp;"")))</f>
      </c>
      <c r="E38">
        <f>ISERROR(C38)</f>
      </c>
    </row>
    <row r="39">
      <c r="A39" t="str">
        <v>K3</v>
      </c>
      <c r="B39">
        <v>0</v>
      </c>
      <c r="C39">
        <f>'diem'!K3</f>
      </c>
      <c r="D39">
        <f>IF(ISERROR(C39),LEFT(B39&amp;"",1)="#",IF(ISNUMBER(C39),AND(ISNUMBER(B39),ABS(C39-B39)&lt;=0.000001*MAX(1,ABS(B39))),EXACT(C39&amp;"",B39&amp;"")))</f>
      </c>
      <c r="E39">
        <f>ISERROR(C39)</f>
      </c>
    </row>
    <row r="40">
      <c r="A40" t="str">
        <v>K4</v>
      </c>
      <c r="B40">
        <v>4</v>
      </c>
      <c r="C40">
        <f>'diem'!K4</f>
      </c>
      <c r="D40">
        <f>IF(ISERROR(C40),LEFT(B40&amp;"",1)="#",IF(ISNUMBER(C40),AND(ISNUMBER(B40),ABS(C40-B40)&lt;=0.000001*MAX(1,ABS(B40))),EXACT(C40&amp;"",B40&amp;"")))</f>
      </c>
      <c r="E40">
        <f>ISERROR(C40)</f>
      </c>
    </row>
    <row r="41">
      <c r="A41" t="str">
        <v>K5</v>
      </c>
      <c r="B41">
        <v>0</v>
      </c>
      <c r="C41">
        <f>'diem'!K5</f>
      </c>
      <c r="D41">
        <f>IF(ISERROR(C41),LEFT(B41&amp;"",1)="#",IF(ISNUMBER(C41),AND(ISNUMBER(B41),ABS(C41-B41)&lt;=0.000001*MAX(1,ABS(B41))),EXACT(C41&amp;"",B41&amp;"")))</f>
      </c>
      <c r="E41">
        <f>ISERROR(C41)</f>
      </c>
    </row>
    <row r="42">
      <c r="A42" t="str">
        <v>K6</v>
      </c>
      <c r="B42">
        <v>3</v>
      </c>
      <c r="C42">
        <f>'diem'!K6</f>
      </c>
      <c r="D42">
        <f>IF(ISERROR(C42),LEFT(B42&amp;"",1)="#",IF(ISNUMBER(C42),AND(ISNUMBER(B42),ABS(C42-B42)&lt;=0.000001*MAX(1,ABS(B42))),EXACT(C42&amp;"",B42&amp;"")))</f>
      </c>
      <c r="E42">
        <f>ISERROR(C42)</f>
      </c>
    </row>
    <row r="43">
      <c r="A43" t="str">
        <v>K7</v>
      </c>
      <c r="B43">
        <v>0</v>
      </c>
      <c r="C43">
        <f>'diem'!K7</f>
      </c>
      <c r="D43">
        <f>IF(ISERROR(C43),LEFT(B43&amp;"",1)="#",IF(ISNUMBER(C43),AND(ISNUMBER(B43),ABS(C43-B43)&lt;=0.000001*MAX(1,ABS(B43))),EXACT(C43&amp;"",B43&amp;"")))</f>
      </c>
      <c r="E43">
        <f>ISERROR(C43)</f>
      </c>
    </row>
    <row r="44">
      <c r="A44" t="str">
        <v>K8</v>
      </c>
      <c r="B44">
        <v>0</v>
      </c>
      <c r="C44">
        <f>'diem'!K8</f>
      </c>
      <c r="D44">
        <f>IF(ISERROR(C44),LEFT(B44&amp;"",1)="#",IF(ISNUMBER(C44),AND(ISNUMBER(B44),ABS(C44-B44)&lt;=0.000001*MAX(1,ABS(B44))),EXACT(C44&amp;"",B44&amp;"")))</f>
      </c>
      <c r="E44">
        <f>ISERROR(C44)</f>
      </c>
    </row>
    <row r="45">
      <c r="A45" t="str">
        <v>K9</v>
      </c>
      <c r="B45">
        <v>0</v>
      </c>
      <c r="C45">
        <f>'diem'!K9</f>
      </c>
      <c r="D45">
        <f>IF(ISERROR(C45),LEFT(B45&amp;"",1)="#",IF(ISNUMBER(C45),AND(ISNUMBER(B45),ABS(C45-B45)&lt;=0.000001*MAX(1,ABS(B45))),EXACT(C45&amp;"",B45&amp;"")))</f>
      </c>
      <c r="E45">
        <f>ISERROR(C45)</f>
      </c>
    </row>
    <row r="46">
      <c r="A46" t="str">
        <v>K10</v>
      </c>
      <c r="B46">
        <v>5</v>
      </c>
      <c r="C46">
        <f>'diem'!K10</f>
      </c>
      <c r="D46">
        <f>IF(ISERROR(C46),LEFT(B46&amp;"",1)="#",IF(ISNUMBER(C46),AND(ISNUMBER(B46),ABS(C46-B46)&lt;=0.000001*MAX(1,ABS(B46))),EXACT(C46&amp;"",B46&amp;"")))</f>
      </c>
      <c r="E46">
        <f>ISERROR(C46)</f>
      </c>
    </row>
    <row r="47">
      <c r="A47" t="str">
        <v>K11</v>
      </c>
      <c r="B47">
        <v>0</v>
      </c>
      <c r="C47">
        <f>'diem'!K11</f>
      </c>
      <c r="D47">
        <f>IF(ISERROR(C47),LEFT(B47&amp;"",1)="#",IF(ISNUMBER(C47),AND(ISNUMBER(B47),ABS(C47-B47)&lt;=0.000001*MAX(1,ABS(B47))),EXACT(C47&amp;"",B47&amp;"")))</f>
      </c>
      <c r="E47">
        <f>ISERROR(C47)</f>
      </c>
    </row>
    <row r="48">
      <c r="A48" t="str">
        <v>K12</v>
      </c>
      <c r="B48">
        <v>3</v>
      </c>
      <c r="C48">
        <f>'diem'!K12</f>
      </c>
      <c r="D48">
        <f>IF(ISERROR(C48),LEFT(B48&amp;"",1)="#",IF(ISNUMBER(C48),AND(ISNUMBER(B48),ABS(C48-B48)&lt;=0.000001*MAX(1,ABS(B48))),EXACT(C48&amp;"",B48&amp;"")))</f>
      </c>
      <c r="E48">
        <f>ISERROR(C48)</f>
      </c>
    </row>
    <row r="49">
      <c r="A49" t="str">
        <v>K13</v>
      </c>
      <c r="B49">
        <v>1</v>
      </c>
      <c r="C49">
        <f>'diem'!K13</f>
      </c>
      <c r="D49">
        <f>IF(ISERROR(C49),LEFT(B49&amp;"",1)="#",IF(ISNUMBER(C49),AND(ISNUMBER(B49),ABS(C49-B49)&lt;=0.000001*MAX(1,ABS(B49))),EXACT(C49&amp;"",B49&amp;"")))</f>
      </c>
      <c r="E49">
        <f>ISERROR(C49)</f>
      </c>
    </row>
    <row r="50">
      <c r="A50" t="str">
        <v>L2</v>
      </c>
      <c r="B50">
        <v>9.5</v>
      </c>
      <c r="C50">
        <f>'diem'!L2</f>
      </c>
      <c r="D50">
        <f>IF(ISERROR(C50),LEFT(B50&amp;"",1)="#",IF(ISNUMBER(C50),AND(ISNUMBER(B50),ABS(C50-B50)&lt;=0.000001*MAX(1,ABS(B50))),EXACT(C50&amp;"",B50&amp;"")))</f>
      </c>
      <c r="E50">
        <f>ISERROR(C50)</f>
      </c>
    </row>
    <row r="51">
      <c r="A51" t="str">
        <v>L3</v>
      </c>
      <c r="B51">
        <v>6.2</v>
      </c>
      <c r="C51">
        <f>'diem'!L3</f>
      </c>
      <c r="D51">
        <f>IF(ISERROR(C51),LEFT(B51&amp;"",1)="#",IF(ISNUMBER(C51),AND(ISNUMBER(B51),ABS(C51-B51)&lt;=0.000001*MAX(1,ABS(B51))),EXACT(C51&amp;"",B51&amp;"")))</f>
      </c>
      <c r="E51">
        <f>ISERROR(C51)</f>
      </c>
    </row>
    <row r="52">
      <c r="A52" t="str">
        <v>L4</v>
      </c>
      <c r="B52">
        <v>8.4</v>
      </c>
      <c r="C52">
        <f>'diem'!L4</f>
      </c>
      <c r="D52">
        <f>IF(ISERROR(C52),LEFT(B52&amp;"",1)="#",IF(ISNUMBER(C52),AND(ISNUMBER(B52),ABS(C52-B52)&lt;=0.000001*MAX(1,ABS(B52))),EXACT(C52&amp;"",B52&amp;"")))</f>
      </c>
      <c r="E52">
        <f>ISERROR(C52)</f>
      </c>
    </row>
    <row r="53">
      <c r="A53" t="str">
        <v>L5</v>
      </c>
      <c r="B53">
        <v>8.3</v>
      </c>
      <c r="C53">
        <f>'diem'!L5</f>
      </c>
      <c r="D53">
        <f>IF(ISERROR(C53),LEFT(B53&amp;"",1)="#",IF(ISNUMBER(C53),AND(ISNUMBER(B53),ABS(C53-B53)&lt;=0.000001*MAX(1,ABS(B53))),EXACT(C53&amp;"",B53&amp;"")))</f>
      </c>
      <c r="E53">
        <f>ISERROR(C53)</f>
      </c>
    </row>
    <row r="54">
      <c r="A54" t="str">
        <v>L6</v>
      </c>
      <c r="B54">
        <v>5.2</v>
      </c>
      <c r="C54">
        <f>'diem'!L6</f>
      </c>
      <c r="D54">
        <f>IF(ISERROR(C54),LEFT(B54&amp;"",1)="#",IF(ISNUMBER(C54),AND(ISNUMBER(B54),ABS(C54-B54)&lt;=0.000001*MAX(1,ABS(B54))),EXACT(C54&amp;"",B54&amp;"")))</f>
      </c>
      <c r="E54">
        <f>ISERROR(C54)</f>
      </c>
    </row>
    <row r="55">
      <c r="A55" t="str">
        <v>L7</v>
      </c>
      <c r="B55">
        <v>9.4</v>
      </c>
      <c r="C55">
        <f>'diem'!L7</f>
      </c>
      <c r="D55">
        <f>IF(ISERROR(C55),LEFT(B55&amp;"",1)="#",IF(ISNUMBER(C55),AND(ISNUMBER(B55),ABS(C55-B55)&lt;=0.000001*MAX(1,ABS(B55))),EXACT(C55&amp;"",B55&amp;"")))</f>
      </c>
      <c r="E55">
        <f>ISERROR(C55)</f>
      </c>
    </row>
    <row r="56">
      <c r="A56" t="str">
        <v>L8</v>
      </c>
      <c r="B56">
        <v>4.6</v>
      </c>
      <c r="C56">
        <f>'diem'!L8</f>
      </c>
      <c r="D56">
        <f>IF(ISERROR(C56),LEFT(B56&amp;"",1)="#",IF(ISNUMBER(C56),AND(ISNUMBER(B56),ABS(C56-B56)&lt;=0.000001*MAX(1,ABS(B56))),EXACT(C56&amp;"",B56&amp;"")))</f>
      </c>
      <c r="E56">
        <f>ISERROR(C56)</f>
      </c>
    </row>
    <row r="57">
      <c r="A57" t="str">
        <v>L9</v>
      </c>
      <c r="B57">
        <v>5</v>
      </c>
      <c r="C57">
        <f>'diem'!L9</f>
      </c>
      <c r="D57">
        <f>IF(ISERROR(C57),LEFT(B57&amp;"",1)="#",IF(ISNUMBER(C57),AND(ISNUMBER(B57),ABS(C57-B57)&lt;=0.000001*MAX(1,ABS(B57))),EXACT(C57&amp;"",B57&amp;"")))</f>
      </c>
      <c r="E57">
        <f>ISERROR(C57)</f>
      </c>
    </row>
    <row r="58">
      <c r="A58" t="str">
        <v>L10</v>
      </c>
      <c r="B58">
        <v>7.7</v>
      </c>
      <c r="C58">
        <f>'diem'!L10</f>
      </c>
      <c r="D58">
        <f>IF(ISERROR(C58),LEFT(B58&amp;"",1)="#",IF(ISNUMBER(C58),AND(ISNUMBER(B58),ABS(C58-B58)&lt;=0.000001*MAX(1,ABS(B58))),EXACT(C58&amp;"",B58&amp;"")))</f>
      </c>
      <c r="E58">
        <f>ISERROR(C58)</f>
      </c>
    </row>
    <row r="59">
      <c r="A59" t="str">
        <v>L11</v>
      </c>
      <c r="B59">
        <v>6.8</v>
      </c>
      <c r="C59">
        <f>'diem'!L11</f>
      </c>
      <c r="D59">
        <f>IF(ISERROR(C59),LEFT(B59&amp;"",1)="#",IF(ISNUMBER(C59),AND(ISNUMBER(B59),ABS(C59-B59)&lt;=0.000001*MAX(1,ABS(B59))),EXACT(C59&amp;"",B59&amp;"")))</f>
      </c>
      <c r="E59">
        <f>ISERROR(C59)</f>
      </c>
    </row>
    <row r="60">
      <c r="A60" t="str">
        <v>L12</v>
      </c>
      <c r="B60">
        <v>5.7</v>
      </c>
      <c r="C60">
        <f>'diem'!L12</f>
      </c>
      <c r="D60">
        <f>IF(ISERROR(C60),LEFT(B60&amp;"",1)="#",IF(ISNUMBER(C60),AND(ISNUMBER(B60),ABS(C60-B60)&lt;=0.000001*MAX(1,ABS(B60))),EXACT(C60&amp;"",B60&amp;"")))</f>
      </c>
      <c r="E60">
        <f>ISERROR(C60)</f>
      </c>
    </row>
    <row r="61">
      <c r="A61" t="str">
        <v>L13</v>
      </c>
      <c r="B61">
        <v>9.5</v>
      </c>
      <c r="C61">
        <f>'diem'!L13</f>
      </c>
      <c r="D61">
        <f>IF(ISERROR(C61),LEFT(B61&amp;"",1)="#",IF(ISNUMBER(C61),AND(ISNUMBER(B61),ABS(C61-B61)&lt;=0.000001*MAX(1,ABS(B61))),EXACT(C61&amp;"",B61&amp;"")))</f>
      </c>
      <c r="E61">
        <f>ISERROR(C61)</f>
      </c>
    </row>
    <row r="62">
      <c r="A62" t="str">
        <v>M2</v>
      </c>
      <c r="B62" t="str">
        <v>GIOI</v>
      </c>
      <c r="C62">
        <f>'diem'!M2</f>
      </c>
      <c r="D62">
        <f>IF(ISERROR(C62),LEFT(B62&amp;"",1)="#",IF(ISNUMBER(C62),AND(ISNUMBER(B62),ABS(C62-B62)&lt;=0.000001*MAX(1,ABS(B62))),EXACT(C62&amp;"",B62&amp;"")))</f>
      </c>
      <c r="E62">
        <f>ISERROR(C62)</f>
      </c>
    </row>
    <row r="63">
      <c r="A63" t="str">
        <v>M3</v>
      </c>
      <c r="B63" t="str">
        <v>TB</v>
      </c>
      <c r="C63">
        <f>'diem'!M3</f>
      </c>
      <c r="D63">
        <f>IF(ISERROR(C63),LEFT(B63&amp;"",1)="#",IF(ISNUMBER(C63),AND(ISNUMBER(B63),ABS(C63-B63)&lt;=0.000001*MAX(1,ABS(B63))),EXACT(C63&amp;"",B63&amp;"")))</f>
      </c>
      <c r="E63">
        <f>ISERROR(C63)</f>
      </c>
    </row>
    <row r="64">
      <c r="A64" t="str">
        <v>M4</v>
      </c>
      <c r="B64" t="str">
        <v>GIOI</v>
      </c>
      <c r="C64">
        <f>'diem'!M4</f>
      </c>
      <c r="D64">
        <f>IF(ISERROR(C64),LEFT(B64&amp;"",1)="#",IF(ISNUMBER(C64),AND(ISNUMBER(B64),ABS(C64-B64)&lt;=0.000001*MAX(1,ABS(B64))),EXACT(C64&amp;"",B64&amp;"")))</f>
      </c>
      <c r="E64">
        <f>ISERROR(C64)</f>
      </c>
    </row>
    <row r="65">
      <c r="A65" t="str">
        <v>M5</v>
      </c>
      <c r="B65" t="str">
        <v>GIOI</v>
      </c>
      <c r="C65">
        <f>'diem'!M5</f>
      </c>
      <c r="D65">
        <f>IF(ISERROR(C65),LEFT(B65&amp;"",1)="#",IF(ISNUMBER(C65),AND(ISNUMBER(B65),ABS(C65-B65)&lt;=0.000001*MAX(1,ABS(B65))),EXACT(C65&amp;"",B65&amp;"")))</f>
      </c>
      <c r="E65">
        <f>ISERROR(C65)</f>
      </c>
    </row>
    <row r="66">
      <c r="A66" t="str">
        <v>M6</v>
      </c>
      <c r="B66" t="str">
        <v>TB</v>
      </c>
      <c r="C66">
        <f>'diem'!M6</f>
      </c>
      <c r="D66">
        <f>IF(ISERROR(C66),LEFT(B66&amp;"",1)="#",IF(ISNUMBER(C66),AND(ISNUMBER(B66),ABS(C66-B66)&lt;=0.000001*MAX(1,ABS(B66))),EXACT(C66&amp;"",B66&amp;"")))</f>
      </c>
      <c r="E66">
        <f>ISERROR(C66)</f>
      </c>
    </row>
    <row r="67">
      <c r="A67" t="str">
        <v>M7</v>
      </c>
      <c r="B67" t="str">
        <v>GIOI</v>
      </c>
      <c r="C67">
        <f>'diem'!M7</f>
      </c>
      <c r="D67">
        <f>IF(ISERROR(C67),LEFT(B67&amp;"",1)="#",IF(ISNUMBER(C67),AND(ISNUMBER(B67),ABS(C67-B67)&lt;=0.000001*MAX(1,ABS(B67))),EXACT(C67&amp;"",B67&amp;"")))</f>
      </c>
      <c r="E67">
        <f>ISERROR(C67)</f>
      </c>
    </row>
    <row r="68">
      <c r="A68" t="str">
        <v>M8</v>
      </c>
      <c r="B68" t="str">
        <v>YEU</v>
      </c>
      <c r="C68">
        <f>'diem'!M8</f>
      </c>
      <c r="D68">
        <f>IF(ISERROR(C68),LEFT(B68&amp;"",1)="#",IF(ISNUMBER(C68),AND(ISNUMBER(B68),ABS(C68-B68)&lt;=0.000001*MAX(1,ABS(B68))),EXACT(C68&amp;"",B68&amp;"")))</f>
      </c>
      <c r="E68">
        <f>ISERROR(C68)</f>
      </c>
    </row>
    <row r="69">
      <c r="A69" t="str">
        <v>M9</v>
      </c>
      <c r="B69" t="str">
        <v>TB</v>
      </c>
      <c r="C69">
        <f>'diem'!M9</f>
      </c>
      <c r="D69">
        <f>IF(ISERROR(C69),LEFT(B69&amp;"",1)="#",IF(ISNUMBER(C69),AND(ISNUMBER(B69),ABS(C69-B69)&lt;=0.000001*MAX(1,ABS(B69))),EXACT(C69&amp;"",B69&amp;"")))</f>
      </c>
      <c r="E69">
        <f>ISERROR(C69)</f>
      </c>
    </row>
    <row r="70">
      <c r="A70" t="str">
        <v>M10</v>
      </c>
      <c r="B70" t="str">
        <v>KHA</v>
      </c>
      <c r="C70">
        <f>'diem'!M10</f>
      </c>
      <c r="D70">
        <f>IF(ISERROR(C70),LEFT(B70&amp;"",1)="#",IF(ISNUMBER(C70),AND(ISNUMBER(B70),ABS(C70-B70)&lt;=0.000001*MAX(1,ABS(B70))),EXACT(C70&amp;"",B70&amp;"")))</f>
      </c>
      <c r="E70">
        <f>ISERROR(C70)</f>
      </c>
    </row>
    <row r="71">
      <c r="A71" t="str">
        <v>M11</v>
      </c>
      <c r="B71" t="str">
        <v>KHA</v>
      </c>
      <c r="C71">
        <f>'diem'!M11</f>
      </c>
      <c r="D71">
        <f>IF(ISERROR(C71),LEFT(B71&amp;"",1)="#",IF(ISNUMBER(C71),AND(ISNUMBER(B71),ABS(C71-B71)&lt;=0.000001*MAX(1,ABS(B71))),EXACT(C71&amp;"",B71&amp;"")))</f>
      </c>
      <c r="E71">
        <f>ISERROR(C71)</f>
      </c>
    </row>
    <row r="72">
      <c r="A72" t="str">
        <v>M12</v>
      </c>
      <c r="B72" t="str">
        <v>TB</v>
      </c>
      <c r="C72">
        <f>'diem'!M12</f>
      </c>
      <c r="D72">
        <f>IF(ISERROR(C72),LEFT(B72&amp;"",1)="#",IF(ISNUMBER(C72),AND(ISNUMBER(B72),ABS(C72-B72)&lt;=0.000001*MAX(1,ABS(B72))),EXACT(C72&amp;"",B72&amp;"")))</f>
      </c>
      <c r="E72">
        <f>ISERROR(C72)</f>
      </c>
    </row>
    <row r="73">
      <c r="A73" t="str">
        <v>M13</v>
      </c>
      <c r="B73" t="str">
        <v>GIOI</v>
      </c>
      <c r="C73">
        <f>'diem'!M13</f>
      </c>
      <c r="D73">
        <f>IF(ISERROR(C73),LEFT(B73&amp;"",1)="#",IF(ISNUMBER(C73),AND(ISNUMBER(B73),ABS(C73-B73)&lt;=0.000001*MAX(1,ABS(B73))),EXACT(C73&amp;"",B73&amp;"")))</f>
      </c>
      <c r="E73">
        <f>ISERROR(C73)</f>
      </c>
    </row>
    <row r="74">
      <c r="A74" t="str">
        <v>N2</v>
      </c>
      <c r="B74" t="str">
        <v>CO</v>
      </c>
      <c r="C74">
        <f>'diem'!N2</f>
      </c>
      <c r="D74">
        <f>IF(ISERROR(C74),LEFT(B74&amp;"",1)="#",IF(ISNUMBER(C74),AND(ISNUMBER(B74),ABS(C74-B74)&lt;=0.000001*MAX(1,ABS(B74))),EXACT(C74&amp;"",B74&amp;"")))</f>
      </c>
      <c r="E74">
        <f>ISERROR(C74)</f>
      </c>
    </row>
    <row r="75">
      <c r="A75" t="str">
        <v>N3</v>
      </c>
      <c r="B75" t="str">
        <v>KHONG</v>
      </c>
      <c r="C75">
        <f>'diem'!N3</f>
      </c>
      <c r="D75">
        <f>IF(ISERROR(C75),LEFT(B75&amp;"",1)="#",IF(ISNUMBER(C75),AND(ISNUMBER(B75),ABS(C75-B75)&lt;=0.000001*MAX(1,ABS(B75))),EXACT(C75&amp;"",B75&amp;"")))</f>
      </c>
      <c r="E75">
        <f>ISERROR(C75)</f>
      </c>
    </row>
    <row r="76">
      <c r="A76" t="str">
        <v>N4</v>
      </c>
      <c r="B76" t="str">
        <v>KHONG</v>
      </c>
      <c r="C76">
        <f>'diem'!N4</f>
      </c>
      <c r="D76">
        <f>IF(ISERROR(C76),LEFT(B76&amp;"",1)="#",IF(ISNUMBER(C76),AND(ISNUMBER(B76),ABS(C76-B76)&lt;=0.000001*MAX(1,ABS(B76))),EXACT(C76&amp;"",B76&amp;"")))</f>
      </c>
      <c r="E76">
        <f>ISERROR(C76)</f>
      </c>
    </row>
    <row r="77">
      <c r="A77" t="str">
        <v>N5</v>
      </c>
      <c r="B77" t="str">
        <v>KHONG</v>
      </c>
      <c r="C77">
        <f>'diem'!N5</f>
      </c>
      <c r="D77">
        <f>IF(ISERROR(C77),LEFT(B77&amp;"",1)="#",IF(ISNUMBER(C77),AND(ISNUMBER(B77),ABS(C77-B77)&lt;=0.000001*MAX(1,ABS(B77))),EXACT(C77&amp;"",B77&amp;"")))</f>
      </c>
      <c r="E77">
        <f>ISERROR(C77)</f>
      </c>
    </row>
    <row r="78">
      <c r="A78" t="str">
        <v>N6</v>
      </c>
      <c r="B78" t="str">
        <v>KHONG</v>
      </c>
      <c r="C78">
        <f>'diem'!N6</f>
      </c>
      <c r="D78">
        <f>IF(ISERROR(C78),LEFT(B78&amp;"",1)="#",IF(ISNUMBER(C78),AND(ISNUMBER(B78),ABS(C78-B78)&lt;=0.000001*MAX(1,ABS(B78))),EXACT(C78&amp;"",B78&amp;"")))</f>
      </c>
      <c r="E78">
        <f>ISERROR(C78)</f>
      </c>
    </row>
    <row r="79">
      <c r="A79" t="str">
        <v>N7</v>
      </c>
      <c r="B79" t="str">
        <v>KHONG</v>
      </c>
      <c r="C79">
        <f>'diem'!N7</f>
      </c>
      <c r="D79">
        <f>IF(ISERROR(C79),LEFT(B79&amp;"",1)="#",IF(ISNUMBER(C79),AND(ISNUMBER(B79),ABS(C79-B79)&lt;=0.000001*MAX(1,ABS(B79))),EXACT(C79&amp;"",B79&amp;"")))</f>
      </c>
      <c r="E79">
        <f>ISERROR(C79)</f>
      </c>
    </row>
    <row r="80">
      <c r="A80" t="str">
        <v>N8</v>
      </c>
      <c r="B80" t="str">
        <v>KHONG</v>
      </c>
      <c r="C80">
        <f>'diem'!N8</f>
      </c>
      <c r="D80">
        <f>IF(ISERROR(C80),LEFT(B80&amp;"",1)="#",IF(ISNUMBER(C80),AND(ISNUMBER(B80),ABS(C80-B80)&lt;=0.000001*MAX(1,ABS(B80))),EXACT(C80&amp;"",B80&amp;"")))</f>
      </c>
      <c r="E80">
        <f>ISERROR(C80)</f>
      </c>
    </row>
    <row r="81">
      <c r="A81" t="str">
        <v>N9</v>
      </c>
      <c r="B81" t="str">
        <v>KHONG</v>
      </c>
      <c r="C81">
        <f>'diem'!N9</f>
      </c>
      <c r="D81">
        <f>IF(ISERROR(C81),LEFT(B81&amp;"",1)="#",IF(ISNUMBER(C81),AND(ISNUMBER(B81),ABS(C81-B81)&lt;=0.000001*MAX(1,ABS(B81))),EXACT(C81&amp;"",B81&amp;"")))</f>
      </c>
      <c r="E81">
        <f>ISERROR(C81)</f>
      </c>
    </row>
    <row r="82">
      <c r="A82" t="str">
        <v>N10</v>
      </c>
      <c r="B82" t="str">
        <v>KHONG</v>
      </c>
      <c r="C82">
        <f>'diem'!N10</f>
      </c>
      <c r="D82">
        <f>IF(ISERROR(C82),LEFT(B82&amp;"",1)="#",IF(ISNUMBER(C82),AND(ISNUMBER(B82),ABS(C82-B82)&lt;=0.000001*MAX(1,ABS(B82))),EXACT(C82&amp;"",B82&amp;"")))</f>
      </c>
      <c r="E82">
        <f>ISERROR(C82)</f>
      </c>
    </row>
    <row r="83">
      <c r="A83" t="str">
        <v>N11</v>
      </c>
      <c r="B83" t="str">
        <v>KHONG</v>
      </c>
      <c r="C83">
        <f>'diem'!N11</f>
      </c>
      <c r="D83">
        <f>IF(ISERROR(C83),LEFT(B83&amp;"",1)="#",IF(ISNUMBER(C83),AND(ISNUMBER(B83),ABS(C83-B83)&lt;=0.000001*MAX(1,ABS(B83))),EXACT(C83&amp;"",B83&amp;"")))</f>
      </c>
      <c r="E83">
        <f>ISERROR(C83)</f>
      </c>
    </row>
    <row r="84">
      <c r="A84" t="str">
        <v>N12</v>
      </c>
      <c r="B84" t="str">
        <v>KHONG</v>
      </c>
      <c r="C84">
        <f>'diem'!N12</f>
      </c>
      <c r="D84">
        <f>IF(ISERROR(C84),LEFT(B84&amp;"",1)="#",IF(ISNUMBER(C84),AND(ISNUMBER(B84),ABS(C84-B84)&lt;=0.000001*MAX(1,ABS(B84))),EXACT(C84&amp;"",B84&amp;"")))</f>
      </c>
      <c r="E84">
        <f>ISERROR(C84)</f>
      </c>
    </row>
    <row r="85">
      <c r="A85" t="str">
        <v>N13</v>
      </c>
      <c r="B85" t="str">
        <v>KHONG</v>
      </c>
      <c r="C85">
        <f>'diem'!N13</f>
      </c>
      <c r="D85">
        <f>IF(ISERROR(C85),LEFT(B85&amp;"",1)="#",IF(ISNUMBER(C85),AND(ISNUMBER(B85),ABS(C85-B85)&lt;=0.000001*MAX(1,ABS(B85))),EXACT(C85&amp;"",B85&amp;"")))</f>
      </c>
      <c r="E85">
        <f>ISERROR(C85)</f>
      </c>
    </row>
    <row r="86">
      <c r="A86" t="str">
        <v>Z2</v>
      </c>
      <c r="B86" t="str">
        <v>SV26001</v>
      </c>
      <c r="C86">
        <f>'diem'!Z2</f>
      </c>
      <c r="D86">
        <f>IF(ISERROR(C86),LEFT(B86&amp;"",1)="#",IF(ISNUMBER(C86),AND(ISNUMBER(B86),ABS(C86-B86)&lt;=0.000001*MAX(1,ABS(B86))),EXACT(C86&amp;"",B86&amp;"")))</f>
      </c>
      <c r="E86">
        <f>ISERROR(C86)</f>
      </c>
    </row>
    <row r="87">
      <c r="A87" t="str">
        <v>Z3</v>
      </c>
      <c r="B87">
        <v>3</v>
      </c>
      <c r="C87">
        <f>'diem'!Z3</f>
      </c>
      <c r="D87">
        <f>IF(ISERROR(C87),LEFT(B87&amp;"",1)="#",IF(ISNUMBER(C87),AND(ISNUMBER(B87),ABS(C87-B87)&lt;=0.000001*MAX(1,ABS(B87))),EXACT(C87&amp;"",B87&amp;"")))</f>
      </c>
      <c r="E87">
        <f>ISERROR(C87)</f>
      </c>
    </row>
    <row r="88">
      <c r="A88" t="str">
        <v>Z4</v>
      </c>
      <c r="B88">
        <v>7.800000000000001</v>
      </c>
      <c r="C88">
        <f>'diem'!Z4</f>
      </c>
      <c r="D88">
        <f>IF(ISERROR(C88),LEFT(B88&amp;"",1)="#",IF(ISNUMBER(C88),AND(ISNUMBER(B88),ABS(C88-B88)&lt;=0.000001*MAX(1,ABS(B88))),EXACT(C88&amp;"",B88&amp;"")))</f>
      </c>
      <c r="E88">
        <f>ISERROR(C88)</f>
      </c>
    </row>
    <row r="89">
      <c r="A89" t="str">
        <v>Z5</v>
      </c>
      <c r="B89">
        <v>8.4</v>
      </c>
      <c r="C89">
        <f>'diem'!Z5</f>
      </c>
      <c r="D89">
        <f>IF(ISERROR(C89),LEFT(B89&amp;"",1)="#",IF(ISNUMBER(C89),AND(ISNUMBER(B89),ABS(C89-B89)&lt;=0.000001*MAX(1,ABS(B89))),EXACT(C89&amp;"",B89&amp;"")))</f>
      </c>
      <c r="E89">
        <f>ISERROR(C89)</f>
      </c>
    </row>
    <row r="90">
      <c r="A90" t="str">
        <v>Z6</v>
      </c>
      <c r="B90">
        <v>6</v>
      </c>
      <c r="C90">
        <f>'diem'!Z6</f>
      </c>
      <c r="D90">
        <f>IF(ISERROR(C90),LEFT(B90&amp;"",1)="#",IF(ISNUMBER(C90),AND(ISNUMBER(B90),ABS(C90-B90)&lt;=0.000001*MAX(1,ABS(B90))),EXACT(C90&amp;"",B90&amp;"")))</f>
      </c>
      <c r="E90">
        <f>ISERROR(C90)</f>
      </c>
    </row>
    <row r="91">
      <c r="A91" t="str">
        <v>Z7</v>
      </c>
      <c r="B91">
        <v>7.55</v>
      </c>
      <c r="C91">
        <f>'diem'!Z7</f>
      </c>
      <c r="D91">
        <f>IF(ISERROR(C91),LEFT(B91&amp;"",1)="#",IF(ISNUMBER(C91),AND(ISNUMBER(B91),ABS(C91-B91)&lt;=0.000001*MAX(1,ABS(B91))),EXACT(C91&amp;"",B91&amp;"")))</f>
      </c>
      <c r="E91">
        <f>ISERROR(C91)</f>
      </c>
    </row>
    <row r="92">
      <c r="A92" t="str">
        <v>Z8</v>
      </c>
      <c r="B92">
        <v>6</v>
      </c>
      <c r="C92">
        <f>'diem'!Z8</f>
      </c>
      <c r="D92">
        <f>IF(ISERROR(C92),LEFT(B92&amp;"",1)="#",IF(ISNUMBER(C92),AND(ISNUMBER(B92),ABS(C92-B92)&lt;=0.000001*MAX(1,ABS(B92))),EXACT(C92&amp;"",B92&amp;"")))</f>
      </c>
      <c r="E92">
        <f>ISERROR(C92)</f>
      </c>
    </row>
    <row r="93">
      <c r="A93" t="str">
        <v>Z9</v>
      </c>
      <c r="B93">
        <v>3</v>
      </c>
      <c r="C93">
        <f>'diem'!Z9</f>
      </c>
      <c r="D93">
        <f>IF(ISERROR(C93),LEFT(B93&amp;"",1)="#",IF(ISNUMBER(C93),AND(ISNUMBER(B93),ABS(C93-B93)&lt;=0.000001*MAX(1,ABS(B93))),EXACT(C93&amp;"",B93&amp;"")))</f>
      </c>
      <c r="E93">
        <f>ISERROR(C93)</f>
      </c>
    </row>
    <row r="94">
      <c r="A94" t="str">
        <v>Z10</v>
      </c>
      <c r="B94">
        <v>5</v>
      </c>
      <c r="C94">
        <f>'diem'!Z10</f>
      </c>
      <c r="D94">
        <f>IF(ISERROR(C94),LEFT(B94&amp;"",1)="#",IF(ISNUMBER(C94),AND(ISNUMBER(B94),ABS(C94-B94)&lt;=0.000001*MAX(1,ABS(B94))),EXACT(C94&amp;"",B94&amp;"")))</f>
      </c>
      <c r="E94">
        <f>ISERROR(C94)</f>
      </c>
    </row>
  </sheetData>
  <ignoredErrors>
    <ignoredError numberStoredAsText="1" sqref="A1:E94"/>
  </ignoredErrors>
</worksheet>
</file>

<file path=xl/worksheets/sheet8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MaPhong</v>
      </c>
      <c r="B1" t="str">
        <v>Loai</v>
      </c>
      <c r="C1" t="str">
        <v>NgayVao</v>
      </c>
      <c r="D1" t="str">
        <v>SoThang</v>
      </c>
      <c r="E1" t="str">
        <v>DienTich</v>
      </c>
      <c r="F1" t="str">
        <v>GiaM2</v>
      </c>
      <c r="G1" t="str">
        <v>TienThang</v>
      </c>
      <c r="H1" t="str">
        <v>NgayHetHan</v>
      </c>
      <c r="I1" t="str">
        <v>CuoiThang</v>
      </c>
      <c r="J1" t="str">
        <v>ThangConLai</v>
      </c>
      <c r="K1" t="str">
        <v>TongHD</v>
      </c>
      <c r="L1" t="str">
        <v>MucGia</v>
      </c>
      <c r="R1" t="str">
        <v>Loai</v>
      </c>
      <c r="S1" t="str">
        <v>GiaM2</v>
      </c>
      <c r="T1" t="str">
        <v>NgayTinh</v>
      </c>
      <c r="U1" s="1">
        <v>46327</v>
      </c>
      <c r="W1" t="str">
        <v>Loai</v>
      </c>
      <c r="Y1" t="str">
        <v>TongHop</v>
      </c>
      <c r="Z1" t="str">
        <v>KetQua</v>
      </c>
    </row>
    <row r="2">
      <c r="A2" t="str">
        <v>P101</v>
      </c>
      <c r="B2" t="str">
        <v>A</v>
      </c>
      <c r="C2" s="1">
        <v>46262</v>
      </c>
      <c r="D2">
        <v>18</v>
      </c>
      <c r="E2">
        <v>27</v>
      </c>
      <c r="F2">
        <f>VLOOKUP(B2,$R$2:$S$4,2,FALSE)</f>
        <v>90000</v>
      </c>
      <c r="G2">
        <f>ROUND(F2*E2,0)</f>
        <v>2430000</v>
      </c>
      <c r="H2" s="1">
        <f>EDATE(C2,D2)</f>
        <v>46811</v>
      </c>
      <c r="I2" s="1">
        <f>EOMONTH(C2,0)</f>
        <v>46265</v>
      </c>
      <c r="J2">
        <f>DATEDIF($U$1,H2,"M")</f>
        <v>15</v>
      </c>
      <c r="K2">
        <f>G2*D2</f>
        <v>43740000</v>
      </c>
      <c r="L2" t="str">
        <f>IF(G2&gt;=4500000,"CAO",IF(G2&gt;=3000000,"VUA","THAP"))</f>
        <v>THAP</v>
      </c>
      <c r="R2" t="str">
        <v>A</v>
      </c>
      <c r="S2">
        <v>90000</v>
      </c>
      <c r="W2" t="str">
        <v>A</v>
      </c>
      <c r="Y2" t="str">
        <v>Ma phong co TongHD lon nhat</v>
      </c>
      <c r="Z2" t="str">
        <f>INDEX(A2:A13,MATCH(MAX(K2:K13),K2:K13,0))</f>
        <v>P109</v>
      </c>
    </row>
    <row r="3">
      <c r="A3" t="str">
        <v>P102</v>
      </c>
      <c r="B3" t="str">
        <v>B</v>
      </c>
      <c r="C3" s="1">
        <v>46195</v>
      </c>
      <c r="D3">
        <v>12</v>
      </c>
      <c r="E3">
        <v>15</v>
      </c>
      <c r="F3">
        <f>VLOOKUP(B3,$R$2:$S$4,2,FALSE)</f>
        <v>120000</v>
      </c>
      <c r="G3">
        <f>ROUND(F3*E3,0)</f>
        <v>1800000</v>
      </c>
      <c r="H3" s="1">
        <f>EDATE(C3,D3)</f>
        <v>46560</v>
      </c>
      <c r="I3" s="1">
        <f>EOMONTH(C3,0)</f>
        <v>46203</v>
      </c>
      <c r="J3">
        <f>DATEDIF($U$1,H3,"M")</f>
        <v>7</v>
      </c>
      <c r="K3">
        <f>G3*D3</f>
        <v>21600000</v>
      </c>
      <c r="L3" t="str">
        <f>IF(G3&gt;=4500000,"CAO",IF(G3&gt;=3000000,"VUA","THAP"))</f>
        <v>THAP</v>
      </c>
      <c r="R3" t="str">
        <v>B</v>
      </c>
      <c r="S3">
        <v>120000</v>
      </c>
      <c r="Y3" t="str">
        <v>Tong TienThang loai A</v>
      </c>
      <c r="Z3">
        <f>SUMIF(B2:B13,"A",G2:G13)</f>
        <v>14580000</v>
      </c>
    </row>
    <row r="4">
      <c r="A4" t="str">
        <v>P103</v>
      </c>
      <c r="B4" t="str">
        <v>C</v>
      </c>
      <c r="C4" s="1">
        <v>46281</v>
      </c>
      <c r="D4">
        <v>24</v>
      </c>
      <c r="E4">
        <v>33</v>
      </c>
      <c r="F4">
        <f>VLOOKUP(B4,$R$2:$S$4,2,FALSE)</f>
        <v>150000</v>
      </c>
      <c r="G4">
        <f>ROUND(F4*E4,0)</f>
        <v>4950000</v>
      </c>
      <c r="H4" s="1">
        <f>EDATE(C4,D4)</f>
        <v>47012</v>
      </c>
      <c r="I4" s="1">
        <f>EOMONTH(C4,0)</f>
        <v>46295</v>
      </c>
      <c r="J4">
        <f>DATEDIF($U$1,H4,"M")</f>
        <v>22</v>
      </c>
      <c r="K4">
        <f>G4*D4</f>
        <v>118800000</v>
      </c>
      <c r="L4" t="str">
        <f>IF(G4&gt;=4500000,"CAO",IF(G4&gt;=3000000,"VUA","THAP"))</f>
        <v>CAO</v>
      </c>
      <c r="R4" t="str">
        <v>C</v>
      </c>
      <c r="S4">
        <v>150000</v>
      </c>
      <c r="Y4" t="str">
        <v>So phong loai B, SoThang &gt;= 12</v>
      </c>
      <c r="Z4">
        <f>COUNTIFS(B2:B13,"B",D2:D13,"&gt;=12")</f>
        <v>1</v>
      </c>
    </row>
    <row r="5">
      <c r="A5" t="str">
        <v>P104</v>
      </c>
      <c r="B5" t="str">
        <v>A</v>
      </c>
      <c r="C5" s="1">
        <v>46274</v>
      </c>
      <c r="D5">
        <v>18</v>
      </c>
      <c r="E5">
        <v>36</v>
      </c>
      <c r="F5">
        <f>VLOOKUP(B5,$R$2:$S$4,2,FALSE)</f>
        <v>90000</v>
      </c>
      <c r="G5">
        <f>ROUND(F5*E5,0)</f>
        <v>3240000</v>
      </c>
      <c r="H5" s="1">
        <f>EDATE(C5,D5)</f>
        <v>46821</v>
      </c>
      <c r="I5" s="1">
        <f>EOMONTH(C5,0)</f>
        <v>46295</v>
      </c>
      <c r="J5">
        <f>DATEDIF($U$1,H5,"M")</f>
        <v>16</v>
      </c>
      <c r="K5">
        <f>G5*D5</f>
        <v>58320000</v>
      </c>
      <c r="L5" t="str">
        <f>IF(G5&gt;=4500000,"CAO",IF(G5&gt;=3000000,"VUA","THAP"))</f>
        <v>VUA</v>
      </c>
      <c r="Y5" t="str">
        <v>DienTich TB loai C</v>
      </c>
      <c r="Z5">
        <f>AVERAGEIF(B2:B13,"C",E2:E13)</f>
        <v>36.25</v>
      </c>
    </row>
    <row r="6">
      <c r="A6" t="str">
        <v>P105</v>
      </c>
      <c r="B6" t="str">
        <v>C</v>
      </c>
      <c r="C6" s="1">
        <v>46294</v>
      </c>
      <c r="D6">
        <v>24</v>
      </c>
      <c r="E6">
        <v>35</v>
      </c>
      <c r="F6">
        <f>VLOOKUP(B6,$R$2:$S$4,2,FALSE)</f>
        <v>150000</v>
      </c>
      <c r="G6">
        <f>ROUND(F6*E6,0)</f>
        <v>5250000</v>
      </c>
      <c r="H6" s="1">
        <f>EDATE(C6,D6)</f>
        <v>47025</v>
      </c>
      <c r="I6" s="1">
        <f>EOMONTH(C6,0)</f>
        <v>46295</v>
      </c>
      <c r="J6">
        <f>DATEDIF($U$1,H6,"M")</f>
        <v>22</v>
      </c>
      <c r="K6">
        <f>G6*D6</f>
        <v>126000000</v>
      </c>
      <c r="L6" t="str">
        <f>IF(G6&gt;=4500000,"CAO",IF(G6&gt;=3000000,"VUA","THAP"))</f>
        <v>CAO</v>
      </c>
      <c r="Y6" t="str">
        <v>TongHD lon nhat loai A</v>
      </c>
      <c r="Z6">
        <f>_xlfn.MAXIFS(K2:K13,B2:B13,"A")</f>
        <v>82080000</v>
      </c>
    </row>
    <row r="7">
      <c r="A7" t="str">
        <v>P106</v>
      </c>
      <c r="B7" t="str">
        <v>A</v>
      </c>
      <c r="C7" s="1">
        <v>46188</v>
      </c>
      <c r="D7">
        <v>24</v>
      </c>
      <c r="E7">
        <v>38</v>
      </c>
      <c r="F7">
        <f>VLOOKUP(B7,$R$2:$S$4,2,FALSE)</f>
        <v>90000</v>
      </c>
      <c r="G7">
        <f>ROUND(F7*E7,0)</f>
        <v>3420000</v>
      </c>
      <c r="H7" s="1">
        <f>EDATE(C7,D7)</f>
        <v>46919</v>
      </c>
      <c r="I7" s="1">
        <f>EOMONTH(C7,0)</f>
        <v>46203</v>
      </c>
      <c r="J7">
        <f>DATEDIF($U$1,H7,"M")</f>
        <v>19</v>
      </c>
      <c r="K7">
        <f>G7*D7</f>
        <v>82080000</v>
      </c>
      <c r="L7" t="str">
        <f>IF(G7&gt;=4500000,"CAO",IF(G7&gt;=3000000,"VUA","THAP"))</f>
        <v>VUA</v>
      </c>
      <c r="Y7" t="str">
        <v>Tong TienThang theo tieu chi W1:W2</v>
      </c>
      <c r="Z7">
        <f>DSUM(A1:L13,"TienThang",W1:W2)</f>
        <v>14580000</v>
      </c>
    </row>
    <row r="8">
      <c r="A8" t="str">
        <v>P107</v>
      </c>
      <c r="B8" t="str">
        <v>B</v>
      </c>
      <c r="C8" s="1">
        <v>46280</v>
      </c>
      <c r="D8">
        <v>6</v>
      </c>
      <c r="E8">
        <v>29</v>
      </c>
      <c r="F8">
        <f>VLOOKUP(B8,$R$2:$S$4,2,FALSE)</f>
        <v>120000</v>
      </c>
      <c r="G8">
        <f>ROUND(F8*E8,0)</f>
        <v>3480000</v>
      </c>
      <c r="H8" s="1">
        <f>EDATE(C8,D8)</f>
        <v>46461</v>
      </c>
      <c r="I8" s="1">
        <f>EOMONTH(C8,0)</f>
        <v>46295</v>
      </c>
      <c r="J8">
        <f>DATEDIF($U$1,H8,"M")</f>
        <v>4</v>
      </c>
      <c r="K8">
        <f>G8*D8</f>
        <v>20880000</v>
      </c>
      <c r="L8" t="str">
        <f>IF(G8&gt;=4500000,"CAO",IF(G8&gt;=3000000,"VUA","THAP"))</f>
        <v>VUA</v>
      </c>
      <c r="Y8" t="str">
        <v>So phong theo tieu chi W1:W2</v>
      </c>
      <c r="Z8">
        <f>DCOUNT(A1:L13,"TienThang",W1:W2)</f>
        <v>5</v>
      </c>
    </row>
    <row r="9">
      <c r="A9" t="str">
        <v>P108</v>
      </c>
      <c r="B9" t="str">
        <v>A</v>
      </c>
      <c r="C9" s="1">
        <v>46257</v>
      </c>
      <c r="D9">
        <v>6</v>
      </c>
      <c r="E9">
        <v>37</v>
      </c>
      <c r="F9">
        <f>VLOOKUP(B9,$R$2:$S$4,2,FALSE)</f>
        <v>90000</v>
      </c>
      <c r="G9">
        <f>ROUND(F9*E9,0)</f>
        <v>3330000</v>
      </c>
      <c r="H9" s="1">
        <f>EDATE(C9,D9)</f>
        <v>46441</v>
      </c>
      <c r="I9" s="1">
        <f>EOMONTH(C9,0)</f>
        <v>46265</v>
      </c>
      <c r="J9">
        <f>DATEDIF($U$1,H9,"M")</f>
        <v>3</v>
      </c>
      <c r="K9">
        <f>G9*D9</f>
        <v>19980000</v>
      </c>
      <c r="L9" t="str">
        <f>IF(G9&gt;=4500000,"CAO",IF(G9&gt;=3000000,"VUA","THAP"))</f>
        <v>VUA</v>
      </c>
      <c r="Y9" t="str">
        <v>Tong TienThang loai A (SUMPRODUCT)</v>
      </c>
      <c r="Z9">
        <f>SUMPRODUCT((B2:B13="A")*G2:G13)</f>
        <v>14580000</v>
      </c>
    </row>
    <row r="10">
      <c r="A10" t="str">
        <v>P109</v>
      </c>
      <c r="B10" t="str">
        <v>C</v>
      </c>
      <c r="C10" s="1">
        <v>46203</v>
      </c>
      <c r="D10">
        <v>24</v>
      </c>
      <c r="E10">
        <v>39</v>
      </c>
      <c r="F10">
        <f>VLOOKUP(B10,$R$2:$S$4,2,FALSE)</f>
        <v>150000</v>
      </c>
      <c r="G10">
        <f>ROUND(F10*E10,0)</f>
        <v>5850000</v>
      </c>
      <c r="H10" s="1">
        <f>EDATE(C10,D10)</f>
        <v>46934</v>
      </c>
      <c r="I10" s="1">
        <f>EOMONTH(C10,0)</f>
        <v>46203</v>
      </c>
      <c r="J10">
        <f>DATEDIF($U$1,H10,"M")</f>
        <v>19</v>
      </c>
      <c r="K10">
        <f>G10*D10</f>
        <v>140400000</v>
      </c>
      <c r="L10" t="str">
        <f>IF(G10&gt;=4500000,"CAO",IF(G10&gt;=3000000,"VUA","THAP"))</f>
        <v>CAO</v>
      </c>
      <c r="Y10" t="str">
        <v>Tong DienTich x SoThang</v>
      </c>
      <c r="Z10">
        <f>SUMPRODUCT(E2:E13,D2:D13)</f>
        <v>6630</v>
      </c>
    </row>
    <row r="11">
      <c r="A11" t="str">
        <v>P110</v>
      </c>
      <c r="B11" t="str">
        <v>C</v>
      </c>
      <c r="C11" s="1">
        <v>46267</v>
      </c>
      <c r="D11">
        <v>24</v>
      </c>
      <c r="E11">
        <v>38</v>
      </c>
      <c r="F11">
        <f>VLOOKUP(B11,$R$2:$S$4,2,FALSE)</f>
        <v>150000</v>
      </c>
      <c r="G11">
        <f>ROUND(F11*E11,0)</f>
        <v>5700000</v>
      </c>
      <c r="H11" s="1">
        <f>EDATE(C11,D11)</f>
        <v>46998</v>
      </c>
      <c r="I11" s="1">
        <f>EOMONTH(C11,0)</f>
        <v>46295</v>
      </c>
      <c r="J11">
        <f>DATEDIF($U$1,H11,"M")</f>
        <v>22</v>
      </c>
      <c r="K11">
        <f>G11*D11</f>
        <v>136800000</v>
      </c>
      <c r="L11" t="str">
        <f>IF(G11&gt;=4500000,"CAO",IF(G11&gt;=3000000,"VUA","THAP"))</f>
        <v>CAO</v>
      </c>
    </row>
    <row r="12">
      <c r="A12" t="str">
        <v>P111</v>
      </c>
      <c r="B12" t="str">
        <v>B</v>
      </c>
      <c r="C12" s="1">
        <v>46278</v>
      </c>
      <c r="D12">
        <v>6</v>
      </c>
      <c r="E12">
        <v>16</v>
      </c>
      <c r="F12">
        <f>VLOOKUP(B12,$R$2:$S$4,2,FALSE)</f>
        <v>120000</v>
      </c>
      <c r="G12">
        <f>ROUND(F12*E12,0)</f>
        <v>1920000</v>
      </c>
      <c r="H12" s="1">
        <f>EDATE(C12,D12)</f>
        <v>46459</v>
      </c>
      <c r="I12" s="1">
        <f>EOMONTH(C12,0)</f>
        <v>46295</v>
      </c>
      <c r="J12">
        <f>DATEDIF($U$1,H12,"M")</f>
        <v>4</v>
      </c>
      <c r="K12">
        <f>G12*D12</f>
        <v>11520000</v>
      </c>
      <c r="L12" t="str">
        <f>IF(G12&gt;=4500000,"CAO",IF(G12&gt;=3000000,"VUA","THAP"))</f>
        <v>THAP</v>
      </c>
    </row>
    <row r="13">
      <c r="A13" t="str">
        <v>P112</v>
      </c>
      <c r="B13" t="str">
        <v>A</v>
      </c>
      <c r="C13" s="1">
        <v>46203</v>
      </c>
      <c r="D13">
        <v>18</v>
      </c>
      <c r="E13">
        <v>24</v>
      </c>
      <c r="F13">
        <f>VLOOKUP(B13,$R$2:$S$4,2,FALSE)</f>
        <v>90000</v>
      </c>
      <c r="G13">
        <f>ROUND(F13*E13,0)</f>
        <v>2160000</v>
      </c>
      <c r="H13" s="1">
        <f>EDATE(C13,D13)</f>
        <v>46751</v>
      </c>
      <c r="I13" s="1">
        <f>EOMONTH(C13,0)</f>
        <v>46203</v>
      </c>
      <c r="J13">
        <f>DATEDIF($U$1,H13,"M")</f>
        <v>13</v>
      </c>
      <c r="K13">
        <f>G13*D13</f>
        <v>38880000</v>
      </c>
      <c r="L13" t="str">
        <f>IF(G13&gt;=4500000,"CAO",IF(G13&gt;=3000000,"VUA","THAP"))</f>
        <v>THAP</v>
      </c>
    </row>
  </sheetData>
  <ignoredErrors>
    <ignoredError numberStoredAsText="1" sqref="A1:Z13"/>
  </ignoredErrors>
</worksheet>
</file>

<file path=xl/worksheets/sheet81.xml><?xml version="1.0" encoding="utf-8"?>
<worksheet xmlns="http://schemas.openxmlformats.org/spreadsheetml/2006/main" xmlns:r="http://schemas.openxmlformats.org/officeDocument/2006/relationships">
  <dimension ref="A1:E9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90000</v>
      </c>
      <c r="C2">
        <f>'thue'!F2</f>
      </c>
      <c r="D2">
        <f>IF(ISERROR(C2),LEFT(B2&amp;"",1)="#",IF(ISNUMBER(C2),AND(ISNUMBER(B2),ABS(C2-B2)&lt;=0.000001*MAX(1,ABS(B2))),EXACT(C2&amp;"",B2&amp;"")))</f>
      </c>
      <c r="E2">
        <f>ISERROR(C2)</f>
      </c>
    </row>
    <row r="3">
      <c r="A3" t="str">
        <v>F3</v>
      </c>
      <c r="B3">
        <v>120000</v>
      </c>
      <c r="C3">
        <f>'thue'!F3</f>
      </c>
      <c r="D3">
        <f>IF(ISERROR(C3),LEFT(B3&amp;"",1)="#",IF(ISNUMBER(C3),AND(ISNUMBER(B3),ABS(C3-B3)&lt;=0.000001*MAX(1,ABS(B3))),EXACT(C3&amp;"",B3&amp;"")))</f>
      </c>
      <c r="E3">
        <f>ISERROR(C3)</f>
      </c>
    </row>
    <row r="4">
      <c r="A4" t="str">
        <v>F4</v>
      </c>
      <c r="B4">
        <v>150000</v>
      </c>
      <c r="C4">
        <f>'thue'!F4</f>
      </c>
      <c r="D4">
        <f>IF(ISERROR(C4),LEFT(B4&amp;"",1)="#",IF(ISNUMBER(C4),AND(ISNUMBER(B4),ABS(C4-B4)&lt;=0.000001*MAX(1,ABS(B4))),EXACT(C4&amp;"",B4&amp;"")))</f>
      </c>
      <c r="E4">
        <f>ISERROR(C4)</f>
      </c>
    </row>
    <row r="5">
      <c r="A5" t="str">
        <v>F5</v>
      </c>
      <c r="B5">
        <v>90000</v>
      </c>
      <c r="C5">
        <f>'thue'!F5</f>
      </c>
      <c r="D5">
        <f>IF(ISERROR(C5),LEFT(B5&amp;"",1)="#",IF(ISNUMBER(C5),AND(ISNUMBER(B5),ABS(C5-B5)&lt;=0.000001*MAX(1,ABS(B5))),EXACT(C5&amp;"",B5&amp;"")))</f>
      </c>
      <c r="E5">
        <f>ISERROR(C5)</f>
      </c>
    </row>
    <row r="6">
      <c r="A6" t="str">
        <v>F6</v>
      </c>
      <c r="B6">
        <v>150000</v>
      </c>
      <c r="C6">
        <f>'thue'!F6</f>
      </c>
      <c r="D6">
        <f>IF(ISERROR(C6),LEFT(B6&amp;"",1)="#",IF(ISNUMBER(C6),AND(ISNUMBER(B6),ABS(C6-B6)&lt;=0.000001*MAX(1,ABS(B6))),EXACT(C6&amp;"",B6&amp;"")))</f>
      </c>
      <c r="E6">
        <f>ISERROR(C6)</f>
      </c>
    </row>
    <row r="7">
      <c r="A7" t="str">
        <v>F7</v>
      </c>
      <c r="B7">
        <v>90000</v>
      </c>
      <c r="C7">
        <f>'thue'!F7</f>
      </c>
      <c r="D7">
        <f>IF(ISERROR(C7),LEFT(B7&amp;"",1)="#",IF(ISNUMBER(C7),AND(ISNUMBER(B7),ABS(C7-B7)&lt;=0.000001*MAX(1,ABS(B7))),EXACT(C7&amp;"",B7&amp;"")))</f>
      </c>
      <c r="E7">
        <f>ISERROR(C7)</f>
      </c>
    </row>
    <row r="8">
      <c r="A8" t="str">
        <v>F8</v>
      </c>
      <c r="B8">
        <v>120000</v>
      </c>
      <c r="C8">
        <f>'thue'!F8</f>
      </c>
      <c r="D8">
        <f>IF(ISERROR(C8),LEFT(B8&amp;"",1)="#",IF(ISNUMBER(C8),AND(ISNUMBER(B8),ABS(C8-B8)&lt;=0.000001*MAX(1,ABS(B8))),EXACT(C8&amp;"",B8&amp;"")))</f>
      </c>
      <c r="E8">
        <f>ISERROR(C8)</f>
      </c>
    </row>
    <row r="9">
      <c r="A9" t="str">
        <v>F9</v>
      </c>
      <c r="B9">
        <v>90000</v>
      </c>
      <c r="C9">
        <f>'thue'!F9</f>
      </c>
      <c r="D9">
        <f>IF(ISERROR(C9),LEFT(B9&amp;"",1)="#",IF(ISNUMBER(C9),AND(ISNUMBER(B9),ABS(C9-B9)&lt;=0.000001*MAX(1,ABS(B9))),EXACT(C9&amp;"",B9&amp;"")))</f>
      </c>
      <c r="E9">
        <f>ISERROR(C9)</f>
      </c>
    </row>
    <row r="10">
      <c r="A10" t="str">
        <v>F10</v>
      </c>
      <c r="B10">
        <v>150000</v>
      </c>
      <c r="C10">
        <f>'thue'!F10</f>
      </c>
      <c r="D10">
        <f>IF(ISERROR(C10),LEFT(B10&amp;"",1)="#",IF(ISNUMBER(C10),AND(ISNUMBER(B10),ABS(C10-B10)&lt;=0.000001*MAX(1,ABS(B10))),EXACT(C10&amp;"",B10&amp;"")))</f>
      </c>
      <c r="E10">
        <f>ISERROR(C10)</f>
      </c>
    </row>
    <row r="11">
      <c r="A11" t="str">
        <v>F11</v>
      </c>
      <c r="B11">
        <v>150000</v>
      </c>
      <c r="C11">
        <f>'thue'!F11</f>
      </c>
      <c r="D11">
        <f>IF(ISERROR(C11),LEFT(B11&amp;"",1)="#",IF(ISNUMBER(C11),AND(ISNUMBER(B11),ABS(C11-B11)&lt;=0.000001*MAX(1,ABS(B11))),EXACT(C11&amp;"",B11&amp;"")))</f>
      </c>
      <c r="E11">
        <f>ISERROR(C11)</f>
      </c>
    </row>
    <row r="12">
      <c r="A12" t="str">
        <v>F12</v>
      </c>
      <c r="B12">
        <v>120000</v>
      </c>
      <c r="C12">
        <f>'thue'!F12</f>
      </c>
      <c r="D12">
        <f>IF(ISERROR(C12),LEFT(B12&amp;"",1)="#",IF(ISNUMBER(C12),AND(ISNUMBER(B12),ABS(C12-B12)&lt;=0.000001*MAX(1,ABS(B12))),EXACT(C12&amp;"",B12&amp;"")))</f>
      </c>
      <c r="E12">
        <f>ISERROR(C12)</f>
      </c>
    </row>
    <row r="13">
      <c r="A13" t="str">
        <v>F13</v>
      </c>
      <c r="B13">
        <v>90000</v>
      </c>
      <c r="C13">
        <f>'thue'!F13</f>
      </c>
      <c r="D13">
        <f>IF(ISERROR(C13),LEFT(B13&amp;"",1)="#",IF(ISNUMBER(C13),AND(ISNUMBER(B13),ABS(C13-B13)&lt;=0.000001*MAX(1,ABS(B13))),EXACT(C13&amp;"",B13&amp;"")))</f>
      </c>
      <c r="E13">
        <f>ISERROR(C13)</f>
      </c>
    </row>
    <row r="14">
      <c r="A14" t="str">
        <v>G2</v>
      </c>
      <c r="B14">
        <v>2430000</v>
      </c>
      <c r="C14">
        <f>'thue'!G2</f>
      </c>
      <c r="D14">
        <f>IF(ISERROR(C14),LEFT(B14&amp;"",1)="#",IF(ISNUMBER(C14),AND(ISNUMBER(B14),ABS(C14-B14)&lt;=0.000001*MAX(1,ABS(B14))),EXACT(C14&amp;"",B14&amp;"")))</f>
      </c>
      <c r="E14">
        <f>ISERROR(C14)</f>
      </c>
    </row>
    <row r="15">
      <c r="A15" t="str">
        <v>G3</v>
      </c>
      <c r="B15">
        <v>1800000</v>
      </c>
      <c r="C15">
        <f>'thue'!G3</f>
      </c>
      <c r="D15">
        <f>IF(ISERROR(C15),LEFT(B15&amp;"",1)="#",IF(ISNUMBER(C15),AND(ISNUMBER(B15),ABS(C15-B15)&lt;=0.000001*MAX(1,ABS(B15))),EXACT(C15&amp;"",B15&amp;"")))</f>
      </c>
      <c r="E15">
        <f>ISERROR(C15)</f>
      </c>
    </row>
    <row r="16">
      <c r="A16" t="str">
        <v>G4</v>
      </c>
      <c r="B16">
        <v>4950000</v>
      </c>
      <c r="C16">
        <f>'thue'!G4</f>
      </c>
      <c r="D16">
        <f>IF(ISERROR(C16),LEFT(B16&amp;"",1)="#",IF(ISNUMBER(C16),AND(ISNUMBER(B16),ABS(C16-B16)&lt;=0.000001*MAX(1,ABS(B16))),EXACT(C16&amp;"",B16&amp;"")))</f>
      </c>
      <c r="E16">
        <f>ISERROR(C16)</f>
      </c>
    </row>
    <row r="17">
      <c r="A17" t="str">
        <v>G5</v>
      </c>
      <c r="B17">
        <v>3240000</v>
      </c>
      <c r="C17">
        <f>'thue'!G5</f>
      </c>
      <c r="D17">
        <f>IF(ISERROR(C17),LEFT(B17&amp;"",1)="#",IF(ISNUMBER(C17),AND(ISNUMBER(B17),ABS(C17-B17)&lt;=0.000001*MAX(1,ABS(B17))),EXACT(C17&amp;"",B17&amp;"")))</f>
      </c>
      <c r="E17">
        <f>ISERROR(C17)</f>
      </c>
    </row>
    <row r="18">
      <c r="A18" t="str">
        <v>G6</v>
      </c>
      <c r="B18">
        <v>5250000</v>
      </c>
      <c r="C18">
        <f>'thue'!G6</f>
      </c>
      <c r="D18">
        <f>IF(ISERROR(C18),LEFT(B18&amp;"",1)="#",IF(ISNUMBER(C18),AND(ISNUMBER(B18),ABS(C18-B18)&lt;=0.000001*MAX(1,ABS(B18))),EXACT(C18&amp;"",B18&amp;"")))</f>
      </c>
      <c r="E18">
        <f>ISERROR(C18)</f>
      </c>
    </row>
    <row r="19">
      <c r="A19" t="str">
        <v>G7</v>
      </c>
      <c r="B19">
        <v>3420000</v>
      </c>
      <c r="C19">
        <f>'thue'!G7</f>
      </c>
      <c r="D19">
        <f>IF(ISERROR(C19),LEFT(B19&amp;"",1)="#",IF(ISNUMBER(C19),AND(ISNUMBER(B19),ABS(C19-B19)&lt;=0.000001*MAX(1,ABS(B19))),EXACT(C19&amp;"",B19&amp;"")))</f>
      </c>
      <c r="E19">
        <f>ISERROR(C19)</f>
      </c>
    </row>
    <row r="20">
      <c r="A20" t="str">
        <v>G8</v>
      </c>
      <c r="B20">
        <v>3480000</v>
      </c>
      <c r="C20">
        <f>'thue'!G8</f>
      </c>
      <c r="D20">
        <f>IF(ISERROR(C20),LEFT(B20&amp;"",1)="#",IF(ISNUMBER(C20),AND(ISNUMBER(B20),ABS(C20-B20)&lt;=0.000001*MAX(1,ABS(B20))),EXACT(C20&amp;"",B20&amp;"")))</f>
      </c>
      <c r="E20">
        <f>ISERROR(C20)</f>
      </c>
    </row>
    <row r="21">
      <c r="A21" t="str">
        <v>G9</v>
      </c>
      <c r="B21">
        <v>3330000</v>
      </c>
      <c r="C21">
        <f>'thue'!G9</f>
      </c>
      <c r="D21">
        <f>IF(ISERROR(C21),LEFT(B21&amp;"",1)="#",IF(ISNUMBER(C21),AND(ISNUMBER(B21),ABS(C21-B21)&lt;=0.000001*MAX(1,ABS(B21))),EXACT(C21&amp;"",B21&amp;"")))</f>
      </c>
      <c r="E21">
        <f>ISERROR(C21)</f>
      </c>
    </row>
    <row r="22">
      <c r="A22" t="str">
        <v>G10</v>
      </c>
      <c r="B22">
        <v>5850000</v>
      </c>
      <c r="C22">
        <f>'thue'!G10</f>
      </c>
      <c r="D22">
        <f>IF(ISERROR(C22),LEFT(B22&amp;"",1)="#",IF(ISNUMBER(C22),AND(ISNUMBER(B22),ABS(C22-B22)&lt;=0.000001*MAX(1,ABS(B22))),EXACT(C22&amp;"",B22&amp;"")))</f>
      </c>
      <c r="E22">
        <f>ISERROR(C22)</f>
      </c>
    </row>
    <row r="23">
      <c r="A23" t="str">
        <v>G11</v>
      </c>
      <c r="B23">
        <v>5700000</v>
      </c>
      <c r="C23">
        <f>'thue'!G11</f>
      </c>
      <c r="D23">
        <f>IF(ISERROR(C23),LEFT(B23&amp;"",1)="#",IF(ISNUMBER(C23),AND(ISNUMBER(B23),ABS(C23-B23)&lt;=0.000001*MAX(1,ABS(B23))),EXACT(C23&amp;"",B23&amp;"")))</f>
      </c>
      <c r="E23">
        <f>ISERROR(C23)</f>
      </c>
    </row>
    <row r="24">
      <c r="A24" t="str">
        <v>G12</v>
      </c>
      <c r="B24">
        <v>1920000</v>
      </c>
      <c r="C24">
        <f>'thue'!G12</f>
      </c>
      <c r="D24">
        <f>IF(ISERROR(C24),LEFT(B24&amp;"",1)="#",IF(ISNUMBER(C24),AND(ISNUMBER(B24),ABS(C24-B24)&lt;=0.000001*MAX(1,ABS(B24))),EXACT(C24&amp;"",B24&amp;"")))</f>
      </c>
      <c r="E24">
        <f>ISERROR(C24)</f>
      </c>
    </row>
    <row r="25">
      <c r="A25" t="str">
        <v>G13</v>
      </c>
      <c r="B25">
        <v>2160000</v>
      </c>
      <c r="C25">
        <f>'thue'!G13</f>
      </c>
      <c r="D25">
        <f>IF(ISERROR(C25),LEFT(B25&amp;"",1)="#",IF(ISNUMBER(C25),AND(ISNUMBER(B25),ABS(C25-B25)&lt;=0.000001*MAX(1,ABS(B25))),EXACT(C25&amp;"",B25&amp;"")))</f>
      </c>
      <c r="E25">
        <f>ISERROR(C25)</f>
      </c>
    </row>
    <row r="26">
      <c r="A26" t="str">
        <v>H2</v>
      </c>
      <c r="B26">
        <v>46811</v>
      </c>
      <c r="C26">
        <f>'thue'!H2</f>
      </c>
      <c r="D26">
        <f>IF(ISERROR(C26),LEFT(B26&amp;"",1)="#",IF(ISNUMBER(C26),AND(ISNUMBER(B26),ABS(C26-B26)&lt;=0.000001*MAX(1,ABS(B26))),EXACT(C26&amp;"",B26&amp;"")))</f>
      </c>
      <c r="E26">
        <f>ISERROR(C26)</f>
      </c>
    </row>
    <row r="27">
      <c r="A27" t="str">
        <v>H3</v>
      </c>
      <c r="B27">
        <v>46560</v>
      </c>
      <c r="C27">
        <f>'thue'!H3</f>
      </c>
      <c r="D27">
        <f>IF(ISERROR(C27),LEFT(B27&amp;"",1)="#",IF(ISNUMBER(C27),AND(ISNUMBER(B27),ABS(C27-B27)&lt;=0.000001*MAX(1,ABS(B27))),EXACT(C27&amp;"",B27&amp;"")))</f>
      </c>
      <c r="E27">
        <f>ISERROR(C27)</f>
      </c>
    </row>
    <row r="28">
      <c r="A28" t="str">
        <v>H4</v>
      </c>
      <c r="B28">
        <v>47012</v>
      </c>
      <c r="C28">
        <f>'thue'!H4</f>
      </c>
      <c r="D28">
        <f>IF(ISERROR(C28),LEFT(B28&amp;"",1)="#",IF(ISNUMBER(C28),AND(ISNUMBER(B28),ABS(C28-B28)&lt;=0.000001*MAX(1,ABS(B28))),EXACT(C28&amp;"",B28&amp;"")))</f>
      </c>
      <c r="E28">
        <f>ISERROR(C28)</f>
      </c>
    </row>
    <row r="29">
      <c r="A29" t="str">
        <v>H5</v>
      </c>
      <c r="B29">
        <v>46821</v>
      </c>
      <c r="C29">
        <f>'thue'!H5</f>
      </c>
      <c r="D29">
        <f>IF(ISERROR(C29),LEFT(B29&amp;"",1)="#",IF(ISNUMBER(C29),AND(ISNUMBER(B29),ABS(C29-B29)&lt;=0.000001*MAX(1,ABS(B29))),EXACT(C29&amp;"",B29&amp;"")))</f>
      </c>
      <c r="E29">
        <f>ISERROR(C29)</f>
      </c>
    </row>
    <row r="30">
      <c r="A30" t="str">
        <v>H6</v>
      </c>
      <c r="B30">
        <v>47025</v>
      </c>
      <c r="C30">
        <f>'thue'!H6</f>
      </c>
      <c r="D30">
        <f>IF(ISERROR(C30),LEFT(B30&amp;"",1)="#",IF(ISNUMBER(C30),AND(ISNUMBER(B30),ABS(C30-B30)&lt;=0.000001*MAX(1,ABS(B30))),EXACT(C30&amp;"",B30&amp;"")))</f>
      </c>
      <c r="E30">
        <f>ISERROR(C30)</f>
      </c>
    </row>
    <row r="31">
      <c r="A31" t="str">
        <v>H7</v>
      </c>
      <c r="B31">
        <v>46919</v>
      </c>
      <c r="C31">
        <f>'thue'!H7</f>
      </c>
      <c r="D31">
        <f>IF(ISERROR(C31),LEFT(B31&amp;"",1)="#",IF(ISNUMBER(C31),AND(ISNUMBER(B31),ABS(C31-B31)&lt;=0.000001*MAX(1,ABS(B31))),EXACT(C31&amp;"",B31&amp;"")))</f>
      </c>
      <c r="E31">
        <f>ISERROR(C31)</f>
      </c>
    </row>
    <row r="32">
      <c r="A32" t="str">
        <v>H8</v>
      </c>
      <c r="B32">
        <v>46461</v>
      </c>
      <c r="C32">
        <f>'thue'!H8</f>
      </c>
      <c r="D32">
        <f>IF(ISERROR(C32),LEFT(B32&amp;"",1)="#",IF(ISNUMBER(C32),AND(ISNUMBER(B32),ABS(C32-B32)&lt;=0.000001*MAX(1,ABS(B32))),EXACT(C32&amp;"",B32&amp;"")))</f>
      </c>
      <c r="E32">
        <f>ISERROR(C32)</f>
      </c>
    </row>
    <row r="33">
      <c r="A33" t="str">
        <v>H9</v>
      </c>
      <c r="B33">
        <v>46441</v>
      </c>
      <c r="C33">
        <f>'thue'!H9</f>
      </c>
      <c r="D33">
        <f>IF(ISERROR(C33),LEFT(B33&amp;"",1)="#",IF(ISNUMBER(C33),AND(ISNUMBER(B33),ABS(C33-B33)&lt;=0.000001*MAX(1,ABS(B33))),EXACT(C33&amp;"",B33&amp;"")))</f>
      </c>
      <c r="E33">
        <f>ISERROR(C33)</f>
      </c>
    </row>
    <row r="34">
      <c r="A34" t="str">
        <v>H10</v>
      </c>
      <c r="B34">
        <v>46934</v>
      </c>
      <c r="C34">
        <f>'thue'!H10</f>
      </c>
      <c r="D34">
        <f>IF(ISERROR(C34),LEFT(B34&amp;"",1)="#",IF(ISNUMBER(C34),AND(ISNUMBER(B34),ABS(C34-B34)&lt;=0.000001*MAX(1,ABS(B34))),EXACT(C34&amp;"",B34&amp;"")))</f>
      </c>
      <c r="E34">
        <f>ISERROR(C34)</f>
      </c>
    </row>
    <row r="35">
      <c r="A35" t="str">
        <v>H11</v>
      </c>
      <c r="B35">
        <v>46998</v>
      </c>
      <c r="C35">
        <f>'thue'!H11</f>
      </c>
      <c r="D35">
        <f>IF(ISERROR(C35),LEFT(B35&amp;"",1)="#",IF(ISNUMBER(C35),AND(ISNUMBER(B35),ABS(C35-B35)&lt;=0.000001*MAX(1,ABS(B35))),EXACT(C35&amp;"",B35&amp;"")))</f>
      </c>
      <c r="E35">
        <f>ISERROR(C35)</f>
      </c>
    </row>
    <row r="36">
      <c r="A36" t="str">
        <v>H12</v>
      </c>
      <c r="B36">
        <v>46459</v>
      </c>
      <c r="C36">
        <f>'thue'!H12</f>
      </c>
      <c r="D36">
        <f>IF(ISERROR(C36),LEFT(B36&amp;"",1)="#",IF(ISNUMBER(C36),AND(ISNUMBER(B36),ABS(C36-B36)&lt;=0.000001*MAX(1,ABS(B36))),EXACT(C36&amp;"",B36&amp;"")))</f>
      </c>
      <c r="E36">
        <f>ISERROR(C36)</f>
      </c>
    </row>
    <row r="37">
      <c r="A37" t="str">
        <v>H13</v>
      </c>
      <c r="B37">
        <v>46751</v>
      </c>
      <c r="C37">
        <f>'thue'!H13</f>
      </c>
      <c r="D37">
        <f>IF(ISERROR(C37),LEFT(B37&amp;"",1)="#",IF(ISNUMBER(C37),AND(ISNUMBER(B37),ABS(C37-B37)&lt;=0.000001*MAX(1,ABS(B37))),EXACT(C37&amp;"",B37&amp;"")))</f>
      </c>
      <c r="E37">
        <f>ISERROR(C37)</f>
      </c>
    </row>
    <row r="38">
      <c r="A38" t="str">
        <v>I2</v>
      </c>
      <c r="B38">
        <v>46265</v>
      </c>
      <c r="C38">
        <f>'thue'!I2</f>
      </c>
      <c r="D38">
        <f>IF(ISERROR(C38),LEFT(B38&amp;"",1)="#",IF(ISNUMBER(C38),AND(ISNUMBER(B38),ABS(C38-B38)&lt;=0.000001*MAX(1,ABS(B38))),EXACT(C38&amp;"",B38&amp;"")))</f>
      </c>
      <c r="E38">
        <f>ISERROR(C38)</f>
      </c>
    </row>
    <row r="39">
      <c r="A39" t="str">
        <v>I3</v>
      </c>
      <c r="B39">
        <v>46203</v>
      </c>
      <c r="C39">
        <f>'thue'!I3</f>
      </c>
      <c r="D39">
        <f>IF(ISERROR(C39),LEFT(B39&amp;"",1)="#",IF(ISNUMBER(C39),AND(ISNUMBER(B39),ABS(C39-B39)&lt;=0.000001*MAX(1,ABS(B39))),EXACT(C39&amp;"",B39&amp;"")))</f>
      </c>
      <c r="E39">
        <f>ISERROR(C39)</f>
      </c>
    </row>
    <row r="40">
      <c r="A40" t="str">
        <v>I4</v>
      </c>
      <c r="B40">
        <v>46295</v>
      </c>
      <c r="C40">
        <f>'thue'!I4</f>
      </c>
      <c r="D40">
        <f>IF(ISERROR(C40),LEFT(B40&amp;"",1)="#",IF(ISNUMBER(C40),AND(ISNUMBER(B40),ABS(C40-B40)&lt;=0.000001*MAX(1,ABS(B40))),EXACT(C40&amp;"",B40&amp;"")))</f>
      </c>
      <c r="E40">
        <f>ISERROR(C40)</f>
      </c>
    </row>
    <row r="41">
      <c r="A41" t="str">
        <v>I5</v>
      </c>
      <c r="B41">
        <v>46295</v>
      </c>
      <c r="C41">
        <f>'thue'!I5</f>
      </c>
      <c r="D41">
        <f>IF(ISERROR(C41),LEFT(B41&amp;"",1)="#",IF(ISNUMBER(C41),AND(ISNUMBER(B41),ABS(C41-B41)&lt;=0.000001*MAX(1,ABS(B41))),EXACT(C41&amp;"",B41&amp;"")))</f>
      </c>
      <c r="E41">
        <f>ISERROR(C41)</f>
      </c>
    </row>
    <row r="42">
      <c r="A42" t="str">
        <v>I6</v>
      </c>
      <c r="B42">
        <v>46295</v>
      </c>
      <c r="C42">
        <f>'thue'!I6</f>
      </c>
      <c r="D42">
        <f>IF(ISERROR(C42),LEFT(B42&amp;"",1)="#",IF(ISNUMBER(C42),AND(ISNUMBER(B42),ABS(C42-B42)&lt;=0.000001*MAX(1,ABS(B42))),EXACT(C42&amp;"",B42&amp;"")))</f>
      </c>
      <c r="E42">
        <f>ISERROR(C42)</f>
      </c>
    </row>
    <row r="43">
      <c r="A43" t="str">
        <v>I7</v>
      </c>
      <c r="B43">
        <v>46203</v>
      </c>
      <c r="C43">
        <f>'thue'!I7</f>
      </c>
      <c r="D43">
        <f>IF(ISERROR(C43),LEFT(B43&amp;"",1)="#",IF(ISNUMBER(C43),AND(ISNUMBER(B43),ABS(C43-B43)&lt;=0.000001*MAX(1,ABS(B43))),EXACT(C43&amp;"",B43&amp;"")))</f>
      </c>
      <c r="E43">
        <f>ISERROR(C43)</f>
      </c>
    </row>
    <row r="44">
      <c r="A44" t="str">
        <v>I8</v>
      </c>
      <c r="B44">
        <v>46295</v>
      </c>
      <c r="C44">
        <f>'thue'!I8</f>
      </c>
      <c r="D44">
        <f>IF(ISERROR(C44),LEFT(B44&amp;"",1)="#",IF(ISNUMBER(C44),AND(ISNUMBER(B44),ABS(C44-B44)&lt;=0.000001*MAX(1,ABS(B44))),EXACT(C44&amp;"",B44&amp;"")))</f>
      </c>
      <c r="E44">
        <f>ISERROR(C44)</f>
      </c>
    </row>
    <row r="45">
      <c r="A45" t="str">
        <v>I9</v>
      </c>
      <c r="B45">
        <v>46265</v>
      </c>
      <c r="C45">
        <f>'thue'!I9</f>
      </c>
      <c r="D45">
        <f>IF(ISERROR(C45),LEFT(B45&amp;"",1)="#",IF(ISNUMBER(C45),AND(ISNUMBER(B45),ABS(C45-B45)&lt;=0.000001*MAX(1,ABS(B45))),EXACT(C45&amp;"",B45&amp;"")))</f>
      </c>
      <c r="E45">
        <f>ISERROR(C45)</f>
      </c>
    </row>
    <row r="46">
      <c r="A46" t="str">
        <v>I10</v>
      </c>
      <c r="B46">
        <v>46203</v>
      </c>
      <c r="C46">
        <f>'thue'!I10</f>
      </c>
      <c r="D46">
        <f>IF(ISERROR(C46),LEFT(B46&amp;"",1)="#",IF(ISNUMBER(C46),AND(ISNUMBER(B46),ABS(C46-B46)&lt;=0.000001*MAX(1,ABS(B46))),EXACT(C46&amp;"",B46&amp;"")))</f>
      </c>
      <c r="E46">
        <f>ISERROR(C46)</f>
      </c>
    </row>
    <row r="47">
      <c r="A47" t="str">
        <v>I11</v>
      </c>
      <c r="B47">
        <v>46295</v>
      </c>
      <c r="C47">
        <f>'thue'!I11</f>
      </c>
      <c r="D47">
        <f>IF(ISERROR(C47),LEFT(B47&amp;"",1)="#",IF(ISNUMBER(C47),AND(ISNUMBER(B47),ABS(C47-B47)&lt;=0.000001*MAX(1,ABS(B47))),EXACT(C47&amp;"",B47&amp;"")))</f>
      </c>
      <c r="E47">
        <f>ISERROR(C47)</f>
      </c>
    </row>
    <row r="48">
      <c r="A48" t="str">
        <v>I12</v>
      </c>
      <c r="B48">
        <v>46295</v>
      </c>
      <c r="C48">
        <f>'thue'!I12</f>
      </c>
      <c r="D48">
        <f>IF(ISERROR(C48),LEFT(B48&amp;"",1)="#",IF(ISNUMBER(C48),AND(ISNUMBER(B48),ABS(C48-B48)&lt;=0.000001*MAX(1,ABS(B48))),EXACT(C48&amp;"",B48&amp;"")))</f>
      </c>
      <c r="E48">
        <f>ISERROR(C48)</f>
      </c>
    </row>
    <row r="49">
      <c r="A49" t="str">
        <v>I13</v>
      </c>
      <c r="B49">
        <v>46203</v>
      </c>
      <c r="C49">
        <f>'thue'!I13</f>
      </c>
      <c r="D49">
        <f>IF(ISERROR(C49),LEFT(B49&amp;"",1)="#",IF(ISNUMBER(C49),AND(ISNUMBER(B49),ABS(C49-B49)&lt;=0.000001*MAX(1,ABS(B49))),EXACT(C49&amp;"",B49&amp;"")))</f>
      </c>
      <c r="E49">
        <f>ISERROR(C49)</f>
      </c>
    </row>
    <row r="50">
      <c r="A50" t="str">
        <v>J2</v>
      </c>
      <c r="B50">
        <v>15</v>
      </c>
      <c r="C50">
        <f>'thue'!J2</f>
      </c>
      <c r="D50">
        <f>IF(ISERROR(C50),LEFT(B50&amp;"",1)="#",IF(ISNUMBER(C50),AND(ISNUMBER(B50),ABS(C50-B50)&lt;=0.000001*MAX(1,ABS(B50))),EXACT(C50&amp;"",B50&amp;"")))</f>
      </c>
      <c r="E50">
        <f>ISERROR(C50)</f>
      </c>
    </row>
    <row r="51">
      <c r="A51" t="str">
        <v>J3</v>
      </c>
      <c r="B51">
        <v>7</v>
      </c>
      <c r="C51">
        <f>'thue'!J3</f>
      </c>
      <c r="D51">
        <f>IF(ISERROR(C51),LEFT(B51&amp;"",1)="#",IF(ISNUMBER(C51),AND(ISNUMBER(B51),ABS(C51-B51)&lt;=0.000001*MAX(1,ABS(B51))),EXACT(C51&amp;"",B51&amp;"")))</f>
      </c>
      <c r="E51">
        <f>ISERROR(C51)</f>
      </c>
    </row>
    <row r="52">
      <c r="A52" t="str">
        <v>J4</v>
      </c>
      <c r="B52">
        <v>22</v>
      </c>
      <c r="C52">
        <f>'thue'!J4</f>
      </c>
      <c r="D52">
        <f>IF(ISERROR(C52),LEFT(B52&amp;"",1)="#",IF(ISNUMBER(C52),AND(ISNUMBER(B52),ABS(C52-B52)&lt;=0.000001*MAX(1,ABS(B52))),EXACT(C52&amp;"",B52&amp;"")))</f>
      </c>
      <c r="E52">
        <f>ISERROR(C52)</f>
      </c>
    </row>
    <row r="53">
      <c r="A53" t="str">
        <v>J5</v>
      </c>
      <c r="B53">
        <v>16</v>
      </c>
      <c r="C53">
        <f>'thue'!J5</f>
      </c>
      <c r="D53">
        <f>IF(ISERROR(C53),LEFT(B53&amp;"",1)="#",IF(ISNUMBER(C53),AND(ISNUMBER(B53),ABS(C53-B53)&lt;=0.000001*MAX(1,ABS(B53))),EXACT(C53&amp;"",B53&amp;"")))</f>
      </c>
      <c r="E53">
        <f>ISERROR(C53)</f>
      </c>
    </row>
    <row r="54">
      <c r="A54" t="str">
        <v>J6</v>
      </c>
      <c r="B54">
        <v>22</v>
      </c>
      <c r="C54">
        <f>'thue'!J6</f>
      </c>
      <c r="D54">
        <f>IF(ISERROR(C54),LEFT(B54&amp;"",1)="#",IF(ISNUMBER(C54),AND(ISNUMBER(B54),ABS(C54-B54)&lt;=0.000001*MAX(1,ABS(B54))),EXACT(C54&amp;"",B54&amp;"")))</f>
      </c>
      <c r="E54">
        <f>ISERROR(C54)</f>
      </c>
    </row>
    <row r="55">
      <c r="A55" t="str">
        <v>J7</v>
      </c>
      <c r="B55">
        <v>19</v>
      </c>
      <c r="C55">
        <f>'thue'!J7</f>
      </c>
      <c r="D55">
        <f>IF(ISERROR(C55),LEFT(B55&amp;"",1)="#",IF(ISNUMBER(C55),AND(ISNUMBER(B55),ABS(C55-B55)&lt;=0.000001*MAX(1,ABS(B55))),EXACT(C55&amp;"",B55&amp;"")))</f>
      </c>
      <c r="E55">
        <f>ISERROR(C55)</f>
      </c>
    </row>
    <row r="56">
      <c r="A56" t="str">
        <v>J8</v>
      </c>
      <c r="B56">
        <v>4</v>
      </c>
      <c r="C56">
        <f>'thue'!J8</f>
      </c>
      <c r="D56">
        <f>IF(ISERROR(C56),LEFT(B56&amp;"",1)="#",IF(ISNUMBER(C56),AND(ISNUMBER(B56),ABS(C56-B56)&lt;=0.000001*MAX(1,ABS(B56))),EXACT(C56&amp;"",B56&amp;"")))</f>
      </c>
      <c r="E56">
        <f>ISERROR(C56)</f>
      </c>
    </row>
    <row r="57">
      <c r="A57" t="str">
        <v>J9</v>
      </c>
      <c r="B57">
        <v>3</v>
      </c>
      <c r="C57">
        <f>'thue'!J9</f>
      </c>
      <c r="D57">
        <f>IF(ISERROR(C57),LEFT(B57&amp;"",1)="#",IF(ISNUMBER(C57),AND(ISNUMBER(B57),ABS(C57-B57)&lt;=0.000001*MAX(1,ABS(B57))),EXACT(C57&amp;"",B57&amp;"")))</f>
      </c>
      <c r="E57">
        <f>ISERROR(C57)</f>
      </c>
    </row>
    <row r="58">
      <c r="A58" t="str">
        <v>J10</v>
      </c>
      <c r="B58">
        <v>19</v>
      </c>
      <c r="C58">
        <f>'thue'!J10</f>
      </c>
      <c r="D58">
        <f>IF(ISERROR(C58),LEFT(B58&amp;"",1)="#",IF(ISNUMBER(C58),AND(ISNUMBER(B58),ABS(C58-B58)&lt;=0.000001*MAX(1,ABS(B58))),EXACT(C58&amp;"",B58&amp;"")))</f>
      </c>
      <c r="E58">
        <f>ISERROR(C58)</f>
      </c>
    </row>
    <row r="59">
      <c r="A59" t="str">
        <v>J11</v>
      </c>
      <c r="B59">
        <v>22</v>
      </c>
      <c r="C59">
        <f>'thue'!J11</f>
      </c>
      <c r="D59">
        <f>IF(ISERROR(C59),LEFT(B59&amp;"",1)="#",IF(ISNUMBER(C59),AND(ISNUMBER(B59),ABS(C59-B59)&lt;=0.000001*MAX(1,ABS(B59))),EXACT(C59&amp;"",B59&amp;"")))</f>
      </c>
      <c r="E59">
        <f>ISERROR(C59)</f>
      </c>
    </row>
    <row r="60">
      <c r="A60" t="str">
        <v>J12</v>
      </c>
      <c r="B60">
        <v>4</v>
      </c>
      <c r="C60">
        <f>'thue'!J12</f>
      </c>
      <c r="D60">
        <f>IF(ISERROR(C60),LEFT(B60&amp;"",1)="#",IF(ISNUMBER(C60),AND(ISNUMBER(B60),ABS(C60-B60)&lt;=0.000001*MAX(1,ABS(B60))),EXACT(C60&amp;"",B60&amp;"")))</f>
      </c>
      <c r="E60">
        <f>ISERROR(C60)</f>
      </c>
    </row>
    <row r="61">
      <c r="A61" t="str">
        <v>J13</v>
      </c>
      <c r="B61">
        <v>13</v>
      </c>
      <c r="C61">
        <f>'thue'!J13</f>
      </c>
      <c r="D61">
        <f>IF(ISERROR(C61),LEFT(B61&amp;"",1)="#",IF(ISNUMBER(C61),AND(ISNUMBER(B61),ABS(C61-B61)&lt;=0.000001*MAX(1,ABS(B61))),EXACT(C61&amp;"",B61&amp;"")))</f>
      </c>
      <c r="E61">
        <f>ISERROR(C61)</f>
      </c>
    </row>
    <row r="62">
      <c r="A62" t="str">
        <v>K2</v>
      </c>
      <c r="B62">
        <v>43740000</v>
      </c>
      <c r="C62">
        <f>'thue'!K2</f>
      </c>
      <c r="D62">
        <f>IF(ISERROR(C62),LEFT(B62&amp;"",1)="#",IF(ISNUMBER(C62),AND(ISNUMBER(B62),ABS(C62-B62)&lt;=0.000001*MAX(1,ABS(B62))),EXACT(C62&amp;"",B62&amp;"")))</f>
      </c>
      <c r="E62">
        <f>ISERROR(C62)</f>
      </c>
    </row>
    <row r="63">
      <c r="A63" t="str">
        <v>K3</v>
      </c>
      <c r="B63">
        <v>21600000</v>
      </c>
      <c r="C63">
        <f>'thue'!K3</f>
      </c>
      <c r="D63">
        <f>IF(ISERROR(C63),LEFT(B63&amp;"",1)="#",IF(ISNUMBER(C63),AND(ISNUMBER(B63),ABS(C63-B63)&lt;=0.000001*MAX(1,ABS(B63))),EXACT(C63&amp;"",B63&amp;"")))</f>
      </c>
      <c r="E63">
        <f>ISERROR(C63)</f>
      </c>
    </row>
    <row r="64">
      <c r="A64" t="str">
        <v>K4</v>
      </c>
      <c r="B64">
        <v>118800000</v>
      </c>
      <c r="C64">
        <f>'thue'!K4</f>
      </c>
      <c r="D64">
        <f>IF(ISERROR(C64),LEFT(B64&amp;"",1)="#",IF(ISNUMBER(C64),AND(ISNUMBER(B64),ABS(C64-B64)&lt;=0.000001*MAX(1,ABS(B64))),EXACT(C64&amp;"",B64&amp;"")))</f>
      </c>
      <c r="E64">
        <f>ISERROR(C64)</f>
      </c>
    </row>
    <row r="65">
      <c r="A65" t="str">
        <v>K5</v>
      </c>
      <c r="B65">
        <v>58320000</v>
      </c>
      <c r="C65">
        <f>'thue'!K5</f>
      </c>
      <c r="D65">
        <f>IF(ISERROR(C65),LEFT(B65&amp;"",1)="#",IF(ISNUMBER(C65),AND(ISNUMBER(B65),ABS(C65-B65)&lt;=0.000001*MAX(1,ABS(B65))),EXACT(C65&amp;"",B65&amp;"")))</f>
      </c>
      <c r="E65">
        <f>ISERROR(C65)</f>
      </c>
    </row>
    <row r="66">
      <c r="A66" t="str">
        <v>K6</v>
      </c>
      <c r="B66">
        <v>126000000</v>
      </c>
      <c r="C66">
        <f>'thue'!K6</f>
      </c>
      <c r="D66">
        <f>IF(ISERROR(C66),LEFT(B66&amp;"",1)="#",IF(ISNUMBER(C66),AND(ISNUMBER(B66),ABS(C66-B66)&lt;=0.000001*MAX(1,ABS(B66))),EXACT(C66&amp;"",B66&amp;"")))</f>
      </c>
      <c r="E66">
        <f>ISERROR(C66)</f>
      </c>
    </row>
    <row r="67">
      <c r="A67" t="str">
        <v>K7</v>
      </c>
      <c r="B67">
        <v>82080000</v>
      </c>
      <c r="C67">
        <f>'thue'!K7</f>
      </c>
      <c r="D67">
        <f>IF(ISERROR(C67),LEFT(B67&amp;"",1)="#",IF(ISNUMBER(C67),AND(ISNUMBER(B67),ABS(C67-B67)&lt;=0.000001*MAX(1,ABS(B67))),EXACT(C67&amp;"",B67&amp;"")))</f>
      </c>
      <c r="E67">
        <f>ISERROR(C67)</f>
      </c>
    </row>
    <row r="68">
      <c r="A68" t="str">
        <v>K8</v>
      </c>
      <c r="B68">
        <v>20880000</v>
      </c>
      <c r="C68">
        <f>'thue'!K8</f>
      </c>
      <c r="D68">
        <f>IF(ISERROR(C68),LEFT(B68&amp;"",1)="#",IF(ISNUMBER(C68),AND(ISNUMBER(B68),ABS(C68-B68)&lt;=0.000001*MAX(1,ABS(B68))),EXACT(C68&amp;"",B68&amp;"")))</f>
      </c>
      <c r="E68">
        <f>ISERROR(C68)</f>
      </c>
    </row>
    <row r="69">
      <c r="A69" t="str">
        <v>K9</v>
      </c>
      <c r="B69">
        <v>19980000</v>
      </c>
      <c r="C69">
        <f>'thue'!K9</f>
      </c>
      <c r="D69">
        <f>IF(ISERROR(C69),LEFT(B69&amp;"",1)="#",IF(ISNUMBER(C69),AND(ISNUMBER(B69),ABS(C69-B69)&lt;=0.000001*MAX(1,ABS(B69))),EXACT(C69&amp;"",B69&amp;"")))</f>
      </c>
      <c r="E69">
        <f>ISERROR(C69)</f>
      </c>
    </row>
    <row r="70">
      <c r="A70" t="str">
        <v>K10</v>
      </c>
      <c r="B70">
        <v>140400000</v>
      </c>
      <c r="C70">
        <f>'thue'!K10</f>
      </c>
      <c r="D70">
        <f>IF(ISERROR(C70),LEFT(B70&amp;"",1)="#",IF(ISNUMBER(C70),AND(ISNUMBER(B70),ABS(C70-B70)&lt;=0.000001*MAX(1,ABS(B70))),EXACT(C70&amp;"",B70&amp;"")))</f>
      </c>
      <c r="E70">
        <f>ISERROR(C70)</f>
      </c>
    </row>
    <row r="71">
      <c r="A71" t="str">
        <v>K11</v>
      </c>
      <c r="B71">
        <v>136800000</v>
      </c>
      <c r="C71">
        <f>'thue'!K11</f>
      </c>
      <c r="D71">
        <f>IF(ISERROR(C71),LEFT(B71&amp;"",1)="#",IF(ISNUMBER(C71),AND(ISNUMBER(B71),ABS(C71-B71)&lt;=0.000001*MAX(1,ABS(B71))),EXACT(C71&amp;"",B71&amp;"")))</f>
      </c>
      <c r="E71">
        <f>ISERROR(C71)</f>
      </c>
    </row>
    <row r="72">
      <c r="A72" t="str">
        <v>K12</v>
      </c>
      <c r="B72">
        <v>11520000</v>
      </c>
      <c r="C72">
        <f>'thue'!K12</f>
      </c>
      <c r="D72">
        <f>IF(ISERROR(C72),LEFT(B72&amp;"",1)="#",IF(ISNUMBER(C72),AND(ISNUMBER(B72),ABS(C72-B72)&lt;=0.000001*MAX(1,ABS(B72))),EXACT(C72&amp;"",B72&amp;"")))</f>
      </c>
      <c r="E72">
        <f>ISERROR(C72)</f>
      </c>
    </row>
    <row r="73">
      <c r="A73" t="str">
        <v>K13</v>
      </c>
      <c r="B73">
        <v>38880000</v>
      </c>
      <c r="C73">
        <f>'thue'!K13</f>
      </c>
      <c r="D73">
        <f>IF(ISERROR(C73),LEFT(B73&amp;"",1)="#",IF(ISNUMBER(C73),AND(ISNUMBER(B73),ABS(C73-B73)&lt;=0.000001*MAX(1,ABS(B73))),EXACT(C73&amp;"",B73&amp;"")))</f>
      </c>
      <c r="E73">
        <f>ISERROR(C73)</f>
      </c>
    </row>
    <row r="74">
      <c r="A74" t="str">
        <v>L2</v>
      </c>
      <c r="B74" t="str">
        <v>THAP</v>
      </c>
      <c r="C74">
        <f>'thue'!L2</f>
      </c>
      <c r="D74">
        <f>IF(ISERROR(C74),LEFT(B74&amp;"",1)="#",IF(ISNUMBER(C74),AND(ISNUMBER(B74),ABS(C74-B74)&lt;=0.000001*MAX(1,ABS(B74))),EXACT(C74&amp;"",B74&amp;"")))</f>
      </c>
      <c r="E74">
        <f>ISERROR(C74)</f>
      </c>
    </row>
    <row r="75">
      <c r="A75" t="str">
        <v>L3</v>
      </c>
      <c r="B75" t="str">
        <v>THAP</v>
      </c>
      <c r="C75">
        <f>'thue'!L3</f>
      </c>
      <c r="D75">
        <f>IF(ISERROR(C75),LEFT(B75&amp;"",1)="#",IF(ISNUMBER(C75),AND(ISNUMBER(B75),ABS(C75-B75)&lt;=0.000001*MAX(1,ABS(B75))),EXACT(C75&amp;"",B75&amp;"")))</f>
      </c>
      <c r="E75">
        <f>ISERROR(C75)</f>
      </c>
    </row>
    <row r="76">
      <c r="A76" t="str">
        <v>L4</v>
      </c>
      <c r="B76" t="str">
        <v>CAO</v>
      </c>
      <c r="C76">
        <f>'thue'!L4</f>
      </c>
      <c r="D76">
        <f>IF(ISERROR(C76),LEFT(B76&amp;"",1)="#",IF(ISNUMBER(C76),AND(ISNUMBER(B76),ABS(C76-B76)&lt;=0.000001*MAX(1,ABS(B76))),EXACT(C76&amp;"",B76&amp;"")))</f>
      </c>
      <c r="E76">
        <f>ISERROR(C76)</f>
      </c>
    </row>
    <row r="77">
      <c r="A77" t="str">
        <v>L5</v>
      </c>
      <c r="B77" t="str">
        <v>VUA</v>
      </c>
      <c r="C77">
        <f>'thue'!L5</f>
      </c>
      <c r="D77">
        <f>IF(ISERROR(C77),LEFT(B77&amp;"",1)="#",IF(ISNUMBER(C77),AND(ISNUMBER(B77),ABS(C77-B77)&lt;=0.000001*MAX(1,ABS(B77))),EXACT(C77&amp;"",B77&amp;"")))</f>
      </c>
      <c r="E77">
        <f>ISERROR(C77)</f>
      </c>
    </row>
    <row r="78">
      <c r="A78" t="str">
        <v>L6</v>
      </c>
      <c r="B78" t="str">
        <v>CAO</v>
      </c>
      <c r="C78">
        <f>'thue'!L6</f>
      </c>
      <c r="D78">
        <f>IF(ISERROR(C78),LEFT(B78&amp;"",1)="#",IF(ISNUMBER(C78),AND(ISNUMBER(B78),ABS(C78-B78)&lt;=0.000001*MAX(1,ABS(B78))),EXACT(C78&amp;"",B78&amp;"")))</f>
      </c>
      <c r="E78">
        <f>ISERROR(C78)</f>
      </c>
    </row>
    <row r="79">
      <c r="A79" t="str">
        <v>L7</v>
      </c>
      <c r="B79" t="str">
        <v>VUA</v>
      </c>
      <c r="C79">
        <f>'thue'!L7</f>
      </c>
      <c r="D79">
        <f>IF(ISERROR(C79),LEFT(B79&amp;"",1)="#",IF(ISNUMBER(C79),AND(ISNUMBER(B79),ABS(C79-B79)&lt;=0.000001*MAX(1,ABS(B79))),EXACT(C79&amp;"",B79&amp;"")))</f>
      </c>
      <c r="E79">
        <f>ISERROR(C79)</f>
      </c>
    </row>
    <row r="80">
      <c r="A80" t="str">
        <v>L8</v>
      </c>
      <c r="B80" t="str">
        <v>VUA</v>
      </c>
      <c r="C80">
        <f>'thue'!L8</f>
      </c>
      <c r="D80">
        <f>IF(ISERROR(C80),LEFT(B80&amp;"",1)="#",IF(ISNUMBER(C80),AND(ISNUMBER(B80),ABS(C80-B80)&lt;=0.000001*MAX(1,ABS(B80))),EXACT(C80&amp;"",B80&amp;"")))</f>
      </c>
      <c r="E80">
        <f>ISERROR(C80)</f>
      </c>
    </row>
    <row r="81">
      <c r="A81" t="str">
        <v>L9</v>
      </c>
      <c r="B81" t="str">
        <v>VUA</v>
      </c>
      <c r="C81">
        <f>'thue'!L9</f>
      </c>
      <c r="D81">
        <f>IF(ISERROR(C81),LEFT(B81&amp;"",1)="#",IF(ISNUMBER(C81),AND(ISNUMBER(B81),ABS(C81-B81)&lt;=0.000001*MAX(1,ABS(B81))),EXACT(C81&amp;"",B81&amp;"")))</f>
      </c>
      <c r="E81">
        <f>ISERROR(C81)</f>
      </c>
    </row>
    <row r="82">
      <c r="A82" t="str">
        <v>L10</v>
      </c>
      <c r="B82" t="str">
        <v>CAO</v>
      </c>
      <c r="C82">
        <f>'thue'!L10</f>
      </c>
      <c r="D82">
        <f>IF(ISERROR(C82),LEFT(B82&amp;"",1)="#",IF(ISNUMBER(C82),AND(ISNUMBER(B82),ABS(C82-B82)&lt;=0.000001*MAX(1,ABS(B82))),EXACT(C82&amp;"",B82&amp;"")))</f>
      </c>
      <c r="E82">
        <f>ISERROR(C82)</f>
      </c>
    </row>
    <row r="83">
      <c r="A83" t="str">
        <v>L11</v>
      </c>
      <c r="B83" t="str">
        <v>CAO</v>
      </c>
      <c r="C83">
        <f>'thue'!L11</f>
      </c>
      <c r="D83">
        <f>IF(ISERROR(C83),LEFT(B83&amp;"",1)="#",IF(ISNUMBER(C83),AND(ISNUMBER(B83),ABS(C83-B83)&lt;=0.000001*MAX(1,ABS(B83))),EXACT(C83&amp;"",B83&amp;"")))</f>
      </c>
      <c r="E83">
        <f>ISERROR(C83)</f>
      </c>
    </row>
    <row r="84">
      <c r="A84" t="str">
        <v>L12</v>
      </c>
      <c r="B84" t="str">
        <v>THAP</v>
      </c>
      <c r="C84">
        <f>'thue'!L12</f>
      </c>
      <c r="D84">
        <f>IF(ISERROR(C84),LEFT(B84&amp;"",1)="#",IF(ISNUMBER(C84),AND(ISNUMBER(B84),ABS(C84-B84)&lt;=0.000001*MAX(1,ABS(B84))),EXACT(C84&amp;"",B84&amp;"")))</f>
      </c>
      <c r="E84">
        <f>ISERROR(C84)</f>
      </c>
    </row>
    <row r="85">
      <c r="A85" t="str">
        <v>L13</v>
      </c>
      <c r="B85" t="str">
        <v>THAP</v>
      </c>
      <c r="C85">
        <f>'thue'!L13</f>
      </c>
      <c r="D85">
        <f>IF(ISERROR(C85),LEFT(B85&amp;"",1)="#",IF(ISNUMBER(C85),AND(ISNUMBER(B85),ABS(C85-B85)&lt;=0.000001*MAX(1,ABS(B85))),EXACT(C85&amp;"",B85&amp;"")))</f>
      </c>
      <c r="E85">
        <f>ISERROR(C85)</f>
      </c>
    </row>
    <row r="86">
      <c r="A86" t="str">
        <v>Z2</v>
      </c>
      <c r="B86" t="str">
        <v>P109</v>
      </c>
      <c r="C86">
        <f>'thue'!Z2</f>
      </c>
      <c r="D86">
        <f>IF(ISERROR(C86),LEFT(B86&amp;"",1)="#",IF(ISNUMBER(C86),AND(ISNUMBER(B86),ABS(C86-B86)&lt;=0.000001*MAX(1,ABS(B86))),EXACT(C86&amp;"",B86&amp;"")))</f>
      </c>
      <c r="E86">
        <f>ISERROR(C86)</f>
      </c>
    </row>
    <row r="87">
      <c r="A87" t="str">
        <v>Z3</v>
      </c>
      <c r="B87">
        <v>14580000</v>
      </c>
      <c r="C87">
        <f>'thue'!Z3</f>
      </c>
      <c r="D87">
        <f>IF(ISERROR(C87),LEFT(B87&amp;"",1)="#",IF(ISNUMBER(C87),AND(ISNUMBER(B87),ABS(C87-B87)&lt;=0.000001*MAX(1,ABS(B87))),EXACT(C87&amp;"",B87&amp;"")))</f>
      </c>
      <c r="E87">
        <f>ISERROR(C87)</f>
      </c>
    </row>
    <row r="88">
      <c r="A88" t="str">
        <v>Z4</v>
      </c>
      <c r="B88">
        <v>1</v>
      </c>
      <c r="C88">
        <f>'thue'!Z4</f>
      </c>
      <c r="D88">
        <f>IF(ISERROR(C88),LEFT(B88&amp;"",1)="#",IF(ISNUMBER(C88),AND(ISNUMBER(B88),ABS(C88-B88)&lt;=0.000001*MAX(1,ABS(B88))),EXACT(C88&amp;"",B88&amp;"")))</f>
      </c>
      <c r="E88">
        <f>ISERROR(C88)</f>
      </c>
    </row>
    <row r="89">
      <c r="A89" t="str">
        <v>Z5</v>
      </c>
      <c r="B89">
        <v>36.25</v>
      </c>
      <c r="C89">
        <f>'thue'!Z5</f>
      </c>
      <c r="D89">
        <f>IF(ISERROR(C89),LEFT(B89&amp;"",1)="#",IF(ISNUMBER(C89),AND(ISNUMBER(B89),ABS(C89-B89)&lt;=0.000001*MAX(1,ABS(B89))),EXACT(C89&amp;"",B89&amp;"")))</f>
      </c>
      <c r="E89">
        <f>ISERROR(C89)</f>
      </c>
    </row>
    <row r="90">
      <c r="A90" t="str">
        <v>Z6</v>
      </c>
      <c r="B90">
        <v>82080000</v>
      </c>
      <c r="C90">
        <f>'thue'!Z6</f>
      </c>
      <c r="D90">
        <f>IF(ISERROR(C90),LEFT(B90&amp;"",1)="#",IF(ISNUMBER(C90),AND(ISNUMBER(B90),ABS(C90-B90)&lt;=0.000001*MAX(1,ABS(B90))),EXACT(C90&amp;"",B90&amp;"")))</f>
      </c>
      <c r="E90">
        <f>ISERROR(C90)</f>
      </c>
    </row>
    <row r="91">
      <c r="A91" t="str">
        <v>Z7</v>
      </c>
      <c r="B91">
        <v>14580000</v>
      </c>
      <c r="C91">
        <f>'thue'!Z7</f>
      </c>
      <c r="D91">
        <f>IF(ISERROR(C91),LEFT(B91&amp;"",1)="#",IF(ISNUMBER(C91),AND(ISNUMBER(B91),ABS(C91-B91)&lt;=0.000001*MAX(1,ABS(B91))),EXACT(C91&amp;"",B91&amp;"")))</f>
      </c>
      <c r="E91">
        <f>ISERROR(C91)</f>
      </c>
    </row>
    <row r="92">
      <c r="A92" t="str">
        <v>Z8</v>
      </c>
      <c r="B92">
        <v>5</v>
      </c>
      <c r="C92">
        <f>'thue'!Z8</f>
      </c>
      <c r="D92">
        <f>IF(ISERROR(C92),LEFT(B92&amp;"",1)="#",IF(ISNUMBER(C92),AND(ISNUMBER(B92),ABS(C92-B92)&lt;=0.000001*MAX(1,ABS(B92))),EXACT(C92&amp;"",B92&amp;"")))</f>
      </c>
      <c r="E92">
        <f>ISERROR(C92)</f>
      </c>
    </row>
    <row r="93">
      <c r="A93" t="str">
        <v>Z9</v>
      </c>
      <c r="B93">
        <v>14580000</v>
      </c>
      <c r="C93">
        <f>'thue'!Z9</f>
      </c>
      <c r="D93">
        <f>IF(ISERROR(C93),LEFT(B93&amp;"",1)="#",IF(ISNUMBER(C93),AND(ISNUMBER(B93),ABS(C93-B93)&lt;=0.000001*MAX(1,ABS(B93))),EXACT(C93&amp;"",B93&amp;"")))</f>
      </c>
      <c r="E93">
        <f>ISERROR(C93)</f>
      </c>
    </row>
    <row r="94">
      <c r="A94" t="str">
        <v>Z10</v>
      </c>
      <c r="B94">
        <v>6630</v>
      </c>
      <c r="C94">
        <f>'thue'!Z10</f>
      </c>
      <c r="D94">
        <f>IF(ISERROR(C94),LEFT(B94&amp;"",1)="#",IF(ISNUMBER(C94),AND(ISNUMBER(B94),ABS(C94-B94)&lt;=0.000001*MAX(1,ABS(B94))),EXACT(C94&amp;"",B94&amp;"")))</f>
      </c>
      <c r="E94">
        <f>ISERROR(C94)</f>
      </c>
    </row>
  </sheetData>
  <ignoredErrors>
    <ignoredError numberStoredAsText="1" sqref="A1:E94"/>
  </ignoredErrors>
</worksheet>
</file>

<file path=xl/worksheets/sheet82.xml><?xml version="1.0" encoding="utf-8"?>
<worksheet xmlns="http://schemas.openxmlformats.org/spreadsheetml/2006/main" xmlns:r="http://schemas.openxmlformats.org/officeDocument/2006/relationships">
  <dimension ref="A1:Z13"/>
  <sheetViews>
    <sheetView workbookViewId="0" rightToLeft="0"/>
  </sheetViews>
  <cols>
    <col min="1" max="1" width="10.83203125" customWidth="1"/>
    <col min="2" max="2" width="12.83203125" customWidth="1"/>
    <col min="3" max="3" width="11.83203125" customWidth="1"/>
    <col min="4" max="4" width="9.83203125" customWidth="1"/>
    <col min="5" max="5" width="8.83203125" customWidth="1"/>
    <col min="6" max="6" width="10.83203125" customWidth="1"/>
    <col min="7" max="7" width="10.83203125" customWidth="1"/>
    <col min="8" max="8" width="11.83203125" customWidth="1"/>
    <col min="9" max="9" width="9.83203125" customWidth="1"/>
    <col min="10" max="10" width="8.83203125" customWidth="1"/>
    <col min="11" max="11" width="2.83203125" customWidth="1"/>
    <col min="12" max="12" width="2.83203125" customWidth="1"/>
    <col min="13" max="13" width="8.83203125" customWidth="1"/>
    <col min="14" max="14" width="8.83203125" customWidth="1"/>
    <col min="15" max="15" width="8.83203125" customWidth="1"/>
    <col min="16" max="16" width="8.83203125" customWidth="1"/>
    <col min="17" max="17" width="2.83203125" customWidth="1"/>
    <col min="18" max="18" width="11.83203125" customWidth="1"/>
    <col min="19" max="19" width="12.83203125" customWidth="1"/>
    <col min="20" max="20" width="2.83203125" customWidth="1"/>
    <col min="21" max="21" width="2.83203125" customWidth="1"/>
    <col min="22" max="22" width="2.83203125" customWidth="1"/>
    <col min="23" max="23" width="8.83203125" customWidth="1"/>
    <col min="24" max="24" width="2.83203125" customWidth="1"/>
    <col min="25" max="25" width="36.83203125" customWidth="1"/>
    <col min="26" max="26" width="12.83203125" customWidth="1"/>
  </cols>
  <sheetData>
    <row r="1">
      <c r="A1" t="str">
        <v>MaNV</v>
      </c>
      <c r="B1" t="str">
        <v>NgayVaoLam</v>
      </c>
      <c r="C1" t="str">
        <v>LuongCB</v>
      </c>
      <c r="D1" t="str">
        <v>NgayCong</v>
      </c>
      <c r="E1" t="str">
        <v>Phong</v>
      </c>
      <c r="F1" t="str">
        <v>PhuCap</v>
      </c>
      <c r="G1" t="str">
        <v>ThamNien</v>
      </c>
      <c r="H1" t="str">
        <v>Luong</v>
      </c>
      <c r="I1" t="str">
        <v>XepLoai</v>
      </c>
      <c r="J1" t="str">
        <v>SoTT</v>
      </c>
      <c r="M1" t="str">
        <v>KT</v>
      </c>
      <c r="N1" t="str">
        <v>KD</v>
      </c>
      <c r="O1" t="str">
        <v>HC</v>
      </c>
      <c r="P1" t="str">
        <v>IT</v>
      </c>
      <c r="R1" t="str">
        <v>NgayTinh</v>
      </c>
      <c r="S1" s="1">
        <v>46326</v>
      </c>
      <c r="W1" t="str">
        <v>Phong</v>
      </c>
      <c r="Y1" t="str">
        <v>TongHop</v>
      </c>
      <c r="Z1" t="str">
        <v>KetQua</v>
      </c>
    </row>
    <row r="2">
      <c r="A2" t="str">
        <v>KT-135</v>
      </c>
      <c r="B2" s="1">
        <v>45025</v>
      </c>
      <c r="C2">
        <v>9400000</v>
      </c>
      <c r="D2">
        <v>22</v>
      </c>
      <c r="E2" t="str">
        <f>LEFT(A2,2)</f>
        <v>KT</v>
      </c>
      <c r="F2">
        <f>HLOOKUP(E2,$M$1:$P$2,2,FALSE)</f>
        <v>600000</v>
      </c>
      <c r="G2">
        <f>DATEDIF(B2,$S$1,"Y")</f>
        <v>3</v>
      </c>
      <c r="H2">
        <f>ROUND(C2/26*D2+F2,0)</f>
        <v>8553846</v>
      </c>
      <c r="I2" t="str">
        <f>IF(D2&gt;=26,"A",IF(D2&gt;=22,"B","C"))</f>
        <v>B</v>
      </c>
      <c r="J2">
        <f>VALUE(MID(A2,4,3))</f>
        <v>135</v>
      </c>
      <c r="M2">
        <v>600000</v>
      </c>
      <c r="N2">
        <v>1300000</v>
      </c>
      <c r="O2">
        <v>400000</v>
      </c>
      <c r="P2">
        <v>700000</v>
      </c>
      <c r="W2" t="str">
        <v>HC</v>
      </c>
      <c r="Y2" t="str">
        <v>Tong Luong phong KT, ThamNien &gt;= 3</v>
      </c>
      <c r="Z2">
        <f>SUMIFS(H2:H13,E2:E13,"KT",G2:G13,"&gt;=3")</f>
        <v>40711539</v>
      </c>
    </row>
    <row r="3">
      <c r="A3" t="str">
        <v>KD-175</v>
      </c>
      <c r="B3" s="1">
        <v>46153</v>
      </c>
      <c r="C3">
        <v>16400000</v>
      </c>
      <c r="D3">
        <v>25</v>
      </c>
      <c r="E3" t="str">
        <f>LEFT(A3,2)</f>
        <v>KD</v>
      </c>
      <c r="F3">
        <f>HLOOKUP(E3,$M$1:$P$2,2,FALSE)</f>
        <v>1300000</v>
      </c>
      <c r="G3">
        <f>DATEDIF(B3,$S$1,"Y")</f>
        <v>0</v>
      </c>
      <c r="H3">
        <f>ROUND(C3/26*D3+F3,0)</f>
        <v>17069231</v>
      </c>
      <c r="I3" t="str">
        <f>IF(D3&gt;=26,"A",IF(D3&gt;=22,"B","C"))</f>
        <v>B</v>
      </c>
      <c r="J3">
        <f>VALUE(MID(A3,4,3))</f>
        <v>175</v>
      </c>
      <c r="Y3" t="str">
        <v>So NV phong KD, NgayCong &gt;= 24</v>
      </c>
      <c r="Z3">
        <f>COUNTIFS(E2:E13,"KD",D2:D13,"&gt;=24")</f>
        <v>2</v>
      </c>
    </row>
    <row r="4">
      <c r="A4" t="str">
        <v>HC-128</v>
      </c>
      <c r="B4" s="1">
        <v>45252</v>
      </c>
      <c r="C4">
        <v>17900000</v>
      </c>
      <c r="D4">
        <v>21</v>
      </c>
      <c r="E4" t="str">
        <f>LEFT(A4,2)</f>
        <v>HC</v>
      </c>
      <c r="F4">
        <f>HLOOKUP(E4,$M$1:$P$2,2,FALSE)</f>
        <v>400000</v>
      </c>
      <c r="G4">
        <f>DATEDIF(B4,$S$1,"Y")</f>
        <v>2</v>
      </c>
      <c r="H4">
        <f>ROUND(C4/26*D4+F4,0)</f>
        <v>14857692</v>
      </c>
      <c r="I4" t="str">
        <f>IF(D4&gt;=26,"A",IF(D4&gt;=22,"B","C"))</f>
        <v>C</v>
      </c>
      <c r="J4">
        <f>VALUE(MID(A4,4,3))</f>
        <v>128</v>
      </c>
      <c r="Y4" t="str">
        <v>Luong cao nhat phong IT</v>
      </c>
      <c r="Z4">
        <f>_xlfn.MAXIFS(H2:H13,E2:E13,"IT")</f>
        <v>16607692</v>
      </c>
    </row>
    <row r="5">
      <c r="A5" t="str">
        <v>IT-152</v>
      </c>
      <c r="B5" s="1">
        <v>43607</v>
      </c>
      <c r="C5">
        <v>17300000</v>
      </c>
      <c r="D5">
        <v>20</v>
      </c>
      <c r="E5" t="str">
        <f>LEFT(A5,2)</f>
        <v>IT</v>
      </c>
      <c r="F5">
        <f>HLOOKUP(E5,$M$1:$P$2,2,FALSE)</f>
        <v>700000</v>
      </c>
      <c r="G5">
        <f>DATEDIF(B5,$S$1,"Y")</f>
        <v>7</v>
      </c>
      <c r="H5">
        <f>ROUND(C5/26*D5+F5,0)</f>
        <v>14007692</v>
      </c>
      <c r="I5" t="str">
        <f>IF(D5&gt;=26,"A",IF(D5&gt;=22,"B","C"))</f>
        <v>C</v>
      </c>
      <c r="J5">
        <f>VALUE(MID(A5,4,3))</f>
        <v>152</v>
      </c>
      <c r="Y5" t="str">
        <v>Luong co ban TB phong HC</v>
      </c>
      <c r="Z5">
        <f>AVERAGEIF(E2:E13,"HC",C2:C13)</f>
        <v>17900000</v>
      </c>
    </row>
    <row r="6">
      <c r="A6" t="str">
        <v>IT-045</v>
      </c>
      <c r="B6" s="1">
        <v>43348</v>
      </c>
      <c r="C6">
        <v>9800000</v>
      </c>
      <c r="D6">
        <v>27</v>
      </c>
      <c r="E6" t="str">
        <f>LEFT(A6,2)</f>
        <v>IT</v>
      </c>
      <c r="F6">
        <f>HLOOKUP(E6,$M$1:$P$2,2,FALSE)</f>
        <v>700000</v>
      </c>
      <c r="G6">
        <f>DATEDIF(B6,$S$1,"Y")</f>
        <v>8</v>
      </c>
      <c r="H6">
        <f>ROUND(C6/26*D6+F6,0)</f>
        <v>10876923</v>
      </c>
      <c r="I6" t="str">
        <f>IF(D6&gt;=26,"A",IF(D6&gt;=22,"B","C"))</f>
        <v>A</v>
      </c>
      <c r="J6">
        <f>VALUE(MID(A6,4,3))</f>
        <v>45</v>
      </c>
      <c r="Y6" t="str">
        <v>Luong cao nhat theo tieu chi W1:W2</v>
      </c>
      <c r="Z6">
        <f>DMAX(A1:J13,"Luong",W1:W2)</f>
        <v>14857692</v>
      </c>
    </row>
    <row r="7">
      <c r="A7" t="str">
        <v>KD-063</v>
      </c>
      <c r="B7" s="1">
        <v>44454</v>
      </c>
      <c r="C7">
        <v>9800000</v>
      </c>
      <c r="D7">
        <v>19</v>
      </c>
      <c r="E7" t="str">
        <f>LEFT(A7,2)</f>
        <v>KD</v>
      </c>
      <c r="F7">
        <f>HLOOKUP(E7,$M$1:$P$2,2,FALSE)</f>
        <v>1300000</v>
      </c>
      <c r="G7">
        <f>DATEDIF(B7,$S$1,"Y")</f>
        <v>5</v>
      </c>
      <c r="H7">
        <f>ROUND(C7/26*D7+F7,0)</f>
        <v>8461538</v>
      </c>
      <c r="I7" t="str">
        <f>IF(D7&gt;=26,"A",IF(D7&gt;=22,"B","C"))</f>
        <v>C</v>
      </c>
      <c r="J7">
        <f>VALUE(MID(A7,4,3))</f>
        <v>63</v>
      </c>
      <c r="Y7" t="str">
        <v>So nhan vien theo tieu chi W1:W2</v>
      </c>
      <c r="Z7">
        <f>DCOUNT(A1:J13,"Luong",W1:W2)</f>
        <v>1</v>
      </c>
    </row>
    <row r="8">
      <c r="A8" t="str">
        <v>KD-174</v>
      </c>
      <c r="B8" s="1">
        <v>43126</v>
      </c>
      <c r="C8">
        <v>17800000</v>
      </c>
      <c r="D8">
        <v>24</v>
      </c>
      <c r="E8" t="str">
        <f>LEFT(A8,2)</f>
        <v>KD</v>
      </c>
      <c r="F8">
        <f>HLOOKUP(E8,$M$1:$P$2,2,FALSE)</f>
        <v>1300000</v>
      </c>
      <c r="G8">
        <f>DATEDIF(B8,$S$1,"Y")</f>
        <v>8</v>
      </c>
      <c r="H8">
        <f>ROUND(C8/26*D8+F8,0)</f>
        <v>17730769</v>
      </c>
      <c r="I8" t="str">
        <f>IF(D8&gt;=26,"A",IF(D8&gt;=22,"B","C"))</f>
        <v>B</v>
      </c>
      <c r="J8">
        <f>VALUE(MID(A8,4,3))</f>
        <v>174</v>
      </c>
      <c r="Y8" t="str">
        <v>Tong Luong phong IT (SUMPRODUCT)</v>
      </c>
      <c r="Z8">
        <f>SUMPRODUCT((E2:E13="IT")*H2:H13)</f>
        <v>47576922</v>
      </c>
    </row>
    <row r="9">
      <c r="A9" t="str">
        <v>IT-185</v>
      </c>
      <c r="B9" s="1">
        <v>43775</v>
      </c>
      <c r="C9">
        <v>18800000</v>
      </c>
      <c r="D9">
        <v>22</v>
      </c>
      <c r="E9" t="str">
        <f>LEFT(A9,2)</f>
        <v>IT</v>
      </c>
      <c r="F9">
        <f>HLOOKUP(E9,$M$1:$P$2,2,FALSE)</f>
        <v>700000</v>
      </c>
      <c r="G9">
        <f>DATEDIF(B9,$S$1,"Y")</f>
        <v>6</v>
      </c>
      <c r="H9">
        <f>ROUND(C9/26*D9+F9,0)</f>
        <v>16607692</v>
      </c>
      <c r="I9" t="str">
        <f>IF(D9&gt;=26,"A",IF(D9&gt;=22,"B","C"))</f>
        <v>B</v>
      </c>
      <c r="J9">
        <f>VALUE(MID(A9,4,3))</f>
        <v>185</v>
      </c>
      <c r="Y9" t="str">
        <v>So NV co NgayCong &gt;= 26 (SUMPRODUCT)</v>
      </c>
      <c r="Z9">
        <f>SUMPRODUCT((D2:D13&gt;=26)*1)</f>
        <v>1</v>
      </c>
    </row>
    <row r="10">
      <c r="A10" t="str">
        <v>KT-078</v>
      </c>
      <c r="B10" s="1">
        <v>45186</v>
      </c>
      <c r="C10">
        <v>15100000</v>
      </c>
      <c r="D10">
        <v>18</v>
      </c>
      <c r="E10" t="str">
        <f>LEFT(A10,2)</f>
        <v>KT</v>
      </c>
      <c r="F10">
        <f>HLOOKUP(E10,$M$1:$P$2,2,FALSE)</f>
        <v>600000</v>
      </c>
      <c r="G10">
        <f>DATEDIF(B10,$S$1,"Y")</f>
        <v>3</v>
      </c>
      <c r="H10">
        <f>ROUND(C10/26*D10+F10,0)</f>
        <v>11053846</v>
      </c>
      <c r="I10" t="str">
        <f>IF(D10&gt;=26,"A",IF(D10&gt;=22,"B","C"))</f>
        <v>C</v>
      </c>
      <c r="J10">
        <f>VALUE(MID(A10,4,3))</f>
        <v>78</v>
      </c>
    </row>
    <row r="11">
      <c r="A11" t="str">
        <v>KT-164</v>
      </c>
      <c r="B11" s="1">
        <v>45025</v>
      </c>
      <c r="C11">
        <v>11500000</v>
      </c>
      <c r="D11">
        <v>21</v>
      </c>
      <c r="E11" t="str">
        <f>LEFT(A11,2)</f>
        <v>KT</v>
      </c>
      <c r="F11">
        <f>HLOOKUP(E11,$M$1:$P$2,2,FALSE)</f>
        <v>600000</v>
      </c>
      <c r="G11">
        <f>DATEDIF(B11,$S$1,"Y")</f>
        <v>3</v>
      </c>
      <c r="H11">
        <f>ROUND(C11/26*D11+F11,0)</f>
        <v>9888462</v>
      </c>
      <c r="I11" t="str">
        <f>IF(D11&gt;=26,"A",IF(D11&gt;=22,"B","C"))</f>
        <v>C</v>
      </c>
      <c r="J11">
        <f>VALUE(MID(A11,4,3))</f>
        <v>164</v>
      </c>
    </row>
    <row r="12">
      <c r="A12" t="str">
        <v>KT-106</v>
      </c>
      <c r="B12" s="1">
        <v>44023</v>
      </c>
      <c r="C12">
        <v>11500000</v>
      </c>
      <c r="D12">
        <v>24</v>
      </c>
      <c r="E12" t="str">
        <f>LEFT(A12,2)</f>
        <v>KT</v>
      </c>
      <c r="F12">
        <f>HLOOKUP(E12,$M$1:$P$2,2,FALSE)</f>
        <v>600000</v>
      </c>
      <c r="G12">
        <f>DATEDIF(B12,$S$1,"Y")</f>
        <v>6</v>
      </c>
      <c r="H12">
        <f>ROUND(C12/26*D12+F12,0)</f>
        <v>11215385</v>
      </c>
      <c r="I12" t="str">
        <f>IF(D12&gt;=26,"A",IF(D12&gt;=22,"B","C"))</f>
        <v>B</v>
      </c>
      <c r="J12">
        <f>VALUE(MID(A12,4,3))</f>
        <v>106</v>
      </c>
    </row>
    <row r="13">
      <c r="A13" t="str">
        <v>IT-093</v>
      </c>
      <c r="B13" s="1">
        <v>44289</v>
      </c>
      <c r="C13">
        <v>7000000</v>
      </c>
      <c r="D13">
        <v>20</v>
      </c>
      <c r="E13" t="str">
        <f>LEFT(A13,2)</f>
        <v>IT</v>
      </c>
      <c r="F13">
        <f>HLOOKUP(E13,$M$1:$P$2,2,FALSE)</f>
        <v>700000</v>
      </c>
      <c r="G13">
        <f>DATEDIF(B13,$S$1,"Y")</f>
        <v>5</v>
      </c>
      <c r="H13">
        <f>ROUND(C13/26*D13+F13,0)</f>
        <v>6084615</v>
      </c>
      <c r="I13" t="str">
        <f>IF(D13&gt;=26,"A",IF(D13&gt;=22,"B","C"))</f>
        <v>C</v>
      </c>
      <c r="J13">
        <f>VALUE(MID(A13,4,3))</f>
        <v>93</v>
      </c>
    </row>
  </sheetData>
  <ignoredErrors>
    <ignoredError numberStoredAsText="1" sqref="A1:Z13"/>
  </ignoredErrors>
</worksheet>
</file>

<file path=xl/worksheets/sheet83.xml><?xml version="1.0" encoding="utf-8"?>
<worksheet xmlns="http://schemas.openxmlformats.org/spreadsheetml/2006/main" xmlns:r="http://schemas.openxmlformats.org/officeDocument/2006/relationships">
  <dimension ref="A1:E8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t="str">
        <v>KT</v>
      </c>
      <c r="C2">
        <f>'luong'!E2</f>
      </c>
      <c r="D2">
        <f>IF(ISERROR(C2),LEFT(B2&amp;"",1)="#",IF(ISNUMBER(C2),AND(ISNUMBER(B2),ABS(C2-B2)&lt;=0.000001*MAX(1,ABS(B2))),EXACT(C2&amp;"",B2&amp;"")))</f>
      </c>
      <c r="E2">
        <f>ISERROR(C2)</f>
      </c>
    </row>
    <row r="3">
      <c r="A3" t="str">
        <v>E3</v>
      </c>
      <c r="B3" t="str">
        <v>KD</v>
      </c>
      <c r="C3">
        <f>'luong'!E3</f>
      </c>
      <c r="D3">
        <f>IF(ISERROR(C3),LEFT(B3&amp;"",1)="#",IF(ISNUMBER(C3),AND(ISNUMBER(B3),ABS(C3-B3)&lt;=0.000001*MAX(1,ABS(B3))),EXACT(C3&amp;"",B3&amp;"")))</f>
      </c>
      <c r="E3">
        <f>ISERROR(C3)</f>
      </c>
    </row>
    <row r="4">
      <c r="A4" t="str">
        <v>E4</v>
      </c>
      <c r="B4" t="str">
        <v>HC</v>
      </c>
      <c r="C4">
        <f>'luong'!E4</f>
      </c>
      <c r="D4">
        <f>IF(ISERROR(C4),LEFT(B4&amp;"",1)="#",IF(ISNUMBER(C4),AND(ISNUMBER(B4),ABS(C4-B4)&lt;=0.000001*MAX(1,ABS(B4))),EXACT(C4&amp;"",B4&amp;"")))</f>
      </c>
      <c r="E4">
        <f>ISERROR(C4)</f>
      </c>
    </row>
    <row r="5">
      <c r="A5" t="str">
        <v>E5</v>
      </c>
      <c r="B5" t="str">
        <v>IT</v>
      </c>
      <c r="C5">
        <f>'luong'!E5</f>
      </c>
      <c r="D5">
        <f>IF(ISERROR(C5),LEFT(B5&amp;"",1)="#",IF(ISNUMBER(C5),AND(ISNUMBER(B5),ABS(C5-B5)&lt;=0.000001*MAX(1,ABS(B5))),EXACT(C5&amp;"",B5&amp;"")))</f>
      </c>
      <c r="E5">
        <f>ISERROR(C5)</f>
      </c>
    </row>
    <row r="6">
      <c r="A6" t="str">
        <v>E6</v>
      </c>
      <c r="B6" t="str">
        <v>IT</v>
      </c>
      <c r="C6">
        <f>'luong'!E6</f>
      </c>
      <c r="D6">
        <f>IF(ISERROR(C6),LEFT(B6&amp;"",1)="#",IF(ISNUMBER(C6),AND(ISNUMBER(B6),ABS(C6-B6)&lt;=0.000001*MAX(1,ABS(B6))),EXACT(C6&amp;"",B6&amp;"")))</f>
      </c>
      <c r="E6">
        <f>ISERROR(C6)</f>
      </c>
    </row>
    <row r="7">
      <c r="A7" t="str">
        <v>E7</v>
      </c>
      <c r="B7" t="str">
        <v>KD</v>
      </c>
      <c r="C7">
        <f>'luong'!E7</f>
      </c>
      <c r="D7">
        <f>IF(ISERROR(C7),LEFT(B7&amp;"",1)="#",IF(ISNUMBER(C7),AND(ISNUMBER(B7),ABS(C7-B7)&lt;=0.000001*MAX(1,ABS(B7))),EXACT(C7&amp;"",B7&amp;"")))</f>
      </c>
      <c r="E7">
        <f>ISERROR(C7)</f>
      </c>
    </row>
    <row r="8">
      <c r="A8" t="str">
        <v>E8</v>
      </c>
      <c r="B8" t="str">
        <v>KD</v>
      </c>
      <c r="C8">
        <f>'luong'!E8</f>
      </c>
      <c r="D8">
        <f>IF(ISERROR(C8),LEFT(B8&amp;"",1)="#",IF(ISNUMBER(C8),AND(ISNUMBER(B8),ABS(C8-B8)&lt;=0.000001*MAX(1,ABS(B8))),EXACT(C8&amp;"",B8&amp;"")))</f>
      </c>
      <c r="E8">
        <f>ISERROR(C8)</f>
      </c>
    </row>
    <row r="9">
      <c r="A9" t="str">
        <v>E9</v>
      </c>
      <c r="B9" t="str">
        <v>IT</v>
      </c>
      <c r="C9">
        <f>'luong'!E9</f>
      </c>
      <c r="D9">
        <f>IF(ISERROR(C9),LEFT(B9&amp;"",1)="#",IF(ISNUMBER(C9),AND(ISNUMBER(B9),ABS(C9-B9)&lt;=0.000001*MAX(1,ABS(B9))),EXACT(C9&amp;"",B9&amp;"")))</f>
      </c>
      <c r="E9">
        <f>ISERROR(C9)</f>
      </c>
    </row>
    <row r="10">
      <c r="A10" t="str">
        <v>E10</v>
      </c>
      <c r="B10" t="str">
        <v>KT</v>
      </c>
      <c r="C10">
        <f>'luong'!E10</f>
      </c>
      <c r="D10">
        <f>IF(ISERROR(C10),LEFT(B10&amp;"",1)="#",IF(ISNUMBER(C10),AND(ISNUMBER(B10),ABS(C10-B10)&lt;=0.000001*MAX(1,ABS(B10))),EXACT(C10&amp;"",B10&amp;"")))</f>
      </c>
      <c r="E10">
        <f>ISERROR(C10)</f>
      </c>
    </row>
    <row r="11">
      <c r="A11" t="str">
        <v>E11</v>
      </c>
      <c r="B11" t="str">
        <v>KT</v>
      </c>
      <c r="C11">
        <f>'luong'!E11</f>
      </c>
      <c r="D11">
        <f>IF(ISERROR(C11),LEFT(B11&amp;"",1)="#",IF(ISNUMBER(C11),AND(ISNUMBER(B11),ABS(C11-B11)&lt;=0.000001*MAX(1,ABS(B11))),EXACT(C11&amp;"",B11&amp;"")))</f>
      </c>
      <c r="E11">
        <f>ISERROR(C11)</f>
      </c>
    </row>
    <row r="12">
      <c r="A12" t="str">
        <v>E12</v>
      </c>
      <c r="B12" t="str">
        <v>KT</v>
      </c>
      <c r="C12">
        <f>'luong'!E12</f>
      </c>
      <c r="D12">
        <f>IF(ISERROR(C12),LEFT(B12&amp;"",1)="#",IF(ISNUMBER(C12),AND(ISNUMBER(B12),ABS(C12-B12)&lt;=0.000001*MAX(1,ABS(B12))),EXACT(C12&amp;"",B12&amp;"")))</f>
      </c>
      <c r="E12">
        <f>ISERROR(C12)</f>
      </c>
    </row>
    <row r="13">
      <c r="A13" t="str">
        <v>E13</v>
      </c>
      <c r="B13" t="str">
        <v>IT</v>
      </c>
      <c r="C13">
        <f>'luong'!E13</f>
      </c>
      <c r="D13">
        <f>IF(ISERROR(C13),LEFT(B13&amp;"",1)="#",IF(ISNUMBER(C13),AND(ISNUMBER(B13),ABS(C13-B13)&lt;=0.000001*MAX(1,ABS(B13))),EXACT(C13&amp;"",B13&amp;"")))</f>
      </c>
      <c r="E13">
        <f>ISERROR(C13)</f>
      </c>
    </row>
    <row r="14">
      <c r="A14" t="str">
        <v>J2</v>
      </c>
      <c r="B14">
        <v>135</v>
      </c>
      <c r="C14">
        <f>'luong'!J2</f>
      </c>
      <c r="D14">
        <f>IF(ISERROR(C14),LEFT(B14&amp;"",1)="#",IF(ISNUMBER(C14),AND(ISNUMBER(B14),ABS(C14-B14)&lt;=0.000001*MAX(1,ABS(B14))),EXACT(C14&amp;"",B14&amp;"")))</f>
      </c>
      <c r="E14">
        <f>ISERROR(C14)</f>
      </c>
    </row>
    <row r="15">
      <c r="A15" t="str">
        <v>J3</v>
      </c>
      <c r="B15">
        <v>175</v>
      </c>
      <c r="C15">
        <f>'luong'!J3</f>
      </c>
      <c r="D15">
        <f>IF(ISERROR(C15),LEFT(B15&amp;"",1)="#",IF(ISNUMBER(C15),AND(ISNUMBER(B15),ABS(C15-B15)&lt;=0.000001*MAX(1,ABS(B15))),EXACT(C15&amp;"",B15&amp;"")))</f>
      </c>
      <c r="E15">
        <f>ISERROR(C15)</f>
      </c>
    </row>
    <row r="16">
      <c r="A16" t="str">
        <v>J4</v>
      </c>
      <c r="B16">
        <v>128</v>
      </c>
      <c r="C16">
        <f>'luong'!J4</f>
      </c>
      <c r="D16">
        <f>IF(ISERROR(C16),LEFT(B16&amp;"",1)="#",IF(ISNUMBER(C16),AND(ISNUMBER(B16),ABS(C16-B16)&lt;=0.000001*MAX(1,ABS(B16))),EXACT(C16&amp;"",B16&amp;"")))</f>
      </c>
      <c r="E16">
        <f>ISERROR(C16)</f>
      </c>
    </row>
    <row r="17">
      <c r="A17" t="str">
        <v>J5</v>
      </c>
      <c r="B17">
        <v>152</v>
      </c>
      <c r="C17">
        <f>'luong'!J5</f>
      </c>
      <c r="D17">
        <f>IF(ISERROR(C17),LEFT(B17&amp;"",1)="#",IF(ISNUMBER(C17),AND(ISNUMBER(B17),ABS(C17-B17)&lt;=0.000001*MAX(1,ABS(B17))),EXACT(C17&amp;"",B17&amp;"")))</f>
      </c>
      <c r="E17">
        <f>ISERROR(C17)</f>
      </c>
    </row>
    <row r="18">
      <c r="A18" t="str">
        <v>J6</v>
      </c>
      <c r="B18">
        <v>45</v>
      </c>
      <c r="C18">
        <f>'luong'!J6</f>
      </c>
      <c r="D18">
        <f>IF(ISERROR(C18),LEFT(B18&amp;"",1)="#",IF(ISNUMBER(C18),AND(ISNUMBER(B18),ABS(C18-B18)&lt;=0.000001*MAX(1,ABS(B18))),EXACT(C18&amp;"",B18&amp;"")))</f>
      </c>
      <c r="E18">
        <f>ISERROR(C18)</f>
      </c>
    </row>
    <row r="19">
      <c r="A19" t="str">
        <v>J7</v>
      </c>
      <c r="B19">
        <v>63</v>
      </c>
      <c r="C19">
        <f>'luong'!J7</f>
      </c>
      <c r="D19">
        <f>IF(ISERROR(C19),LEFT(B19&amp;"",1)="#",IF(ISNUMBER(C19),AND(ISNUMBER(B19),ABS(C19-B19)&lt;=0.000001*MAX(1,ABS(B19))),EXACT(C19&amp;"",B19&amp;"")))</f>
      </c>
      <c r="E19">
        <f>ISERROR(C19)</f>
      </c>
    </row>
    <row r="20">
      <c r="A20" t="str">
        <v>J8</v>
      </c>
      <c r="B20">
        <v>174</v>
      </c>
      <c r="C20">
        <f>'luong'!J8</f>
      </c>
      <c r="D20">
        <f>IF(ISERROR(C20),LEFT(B20&amp;"",1)="#",IF(ISNUMBER(C20),AND(ISNUMBER(B20),ABS(C20-B20)&lt;=0.000001*MAX(1,ABS(B20))),EXACT(C20&amp;"",B20&amp;"")))</f>
      </c>
      <c r="E20">
        <f>ISERROR(C20)</f>
      </c>
    </row>
    <row r="21">
      <c r="A21" t="str">
        <v>J9</v>
      </c>
      <c r="B21">
        <v>185</v>
      </c>
      <c r="C21">
        <f>'luong'!J9</f>
      </c>
      <c r="D21">
        <f>IF(ISERROR(C21),LEFT(B21&amp;"",1)="#",IF(ISNUMBER(C21),AND(ISNUMBER(B21),ABS(C21-B21)&lt;=0.000001*MAX(1,ABS(B21))),EXACT(C21&amp;"",B21&amp;"")))</f>
      </c>
      <c r="E21">
        <f>ISERROR(C21)</f>
      </c>
    </row>
    <row r="22">
      <c r="A22" t="str">
        <v>J10</v>
      </c>
      <c r="B22">
        <v>78</v>
      </c>
      <c r="C22">
        <f>'luong'!J10</f>
      </c>
      <c r="D22">
        <f>IF(ISERROR(C22),LEFT(B22&amp;"",1)="#",IF(ISNUMBER(C22),AND(ISNUMBER(B22),ABS(C22-B22)&lt;=0.000001*MAX(1,ABS(B22))),EXACT(C22&amp;"",B22&amp;"")))</f>
      </c>
      <c r="E22">
        <f>ISERROR(C22)</f>
      </c>
    </row>
    <row r="23">
      <c r="A23" t="str">
        <v>J11</v>
      </c>
      <c r="B23">
        <v>164</v>
      </c>
      <c r="C23">
        <f>'luong'!J11</f>
      </c>
      <c r="D23">
        <f>IF(ISERROR(C23),LEFT(B23&amp;"",1)="#",IF(ISNUMBER(C23),AND(ISNUMBER(B23),ABS(C23-B23)&lt;=0.000001*MAX(1,ABS(B23))),EXACT(C23&amp;"",B23&amp;"")))</f>
      </c>
      <c r="E23">
        <f>ISERROR(C23)</f>
      </c>
    </row>
    <row r="24">
      <c r="A24" t="str">
        <v>J12</v>
      </c>
      <c r="B24">
        <v>106</v>
      </c>
      <c r="C24">
        <f>'luong'!J12</f>
      </c>
      <c r="D24">
        <f>IF(ISERROR(C24),LEFT(B24&amp;"",1)="#",IF(ISNUMBER(C24),AND(ISNUMBER(B24),ABS(C24-B24)&lt;=0.000001*MAX(1,ABS(B24))),EXACT(C24&amp;"",B24&amp;"")))</f>
      </c>
      <c r="E24">
        <f>ISERROR(C24)</f>
      </c>
    </row>
    <row r="25">
      <c r="A25" t="str">
        <v>J13</v>
      </c>
      <c r="B25">
        <v>93</v>
      </c>
      <c r="C25">
        <f>'luong'!J13</f>
      </c>
      <c r="D25">
        <f>IF(ISERROR(C25),LEFT(B25&amp;"",1)="#",IF(ISNUMBER(C25),AND(ISNUMBER(B25),ABS(C25-B25)&lt;=0.000001*MAX(1,ABS(B25))),EXACT(C25&amp;"",B25&amp;"")))</f>
      </c>
      <c r="E25">
        <f>ISERROR(C25)</f>
      </c>
    </row>
    <row r="26">
      <c r="A26" t="str">
        <v>F2</v>
      </c>
      <c r="B26">
        <v>600000</v>
      </c>
      <c r="C26">
        <f>'luong'!F2</f>
      </c>
      <c r="D26">
        <f>IF(ISERROR(C26),LEFT(B26&amp;"",1)="#",IF(ISNUMBER(C26),AND(ISNUMBER(B26),ABS(C26-B26)&lt;=0.000001*MAX(1,ABS(B26))),EXACT(C26&amp;"",B26&amp;"")))</f>
      </c>
      <c r="E26">
        <f>ISERROR(C26)</f>
      </c>
    </row>
    <row r="27">
      <c r="A27" t="str">
        <v>F3</v>
      </c>
      <c r="B27">
        <v>1300000</v>
      </c>
      <c r="C27">
        <f>'luong'!F3</f>
      </c>
      <c r="D27">
        <f>IF(ISERROR(C27),LEFT(B27&amp;"",1)="#",IF(ISNUMBER(C27),AND(ISNUMBER(B27),ABS(C27-B27)&lt;=0.000001*MAX(1,ABS(B27))),EXACT(C27&amp;"",B27&amp;"")))</f>
      </c>
      <c r="E27">
        <f>ISERROR(C27)</f>
      </c>
    </row>
    <row r="28">
      <c r="A28" t="str">
        <v>F4</v>
      </c>
      <c r="B28">
        <v>400000</v>
      </c>
      <c r="C28">
        <f>'luong'!F4</f>
      </c>
      <c r="D28">
        <f>IF(ISERROR(C28),LEFT(B28&amp;"",1)="#",IF(ISNUMBER(C28),AND(ISNUMBER(B28),ABS(C28-B28)&lt;=0.000001*MAX(1,ABS(B28))),EXACT(C28&amp;"",B28&amp;"")))</f>
      </c>
      <c r="E28">
        <f>ISERROR(C28)</f>
      </c>
    </row>
    <row r="29">
      <c r="A29" t="str">
        <v>F5</v>
      </c>
      <c r="B29">
        <v>700000</v>
      </c>
      <c r="C29">
        <f>'luong'!F5</f>
      </c>
      <c r="D29">
        <f>IF(ISERROR(C29),LEFT(B29&amp;"",1)="#",IF(ISNUMBER(C29),AND(ISNUMBER(B29),ABS(C29-B29)&lt;=0.000001*MAX(1,ABS(B29))),EXACT(C29&amp;"",B29&amp;"")))</f>
      </c>
      <c r="E29">
        <f>ISERROR(C29)</f>
      </c>
    </row>
    <row r="30">
      <c r="A30" t="str">
        <v>F6</v>
      </c>
      <c r="B30">
        <v>700000</v>
      </c>
      <c r="C30">
        <f>'luong'!F6</f>
      </c>
      <c r="D30">
        <f>IF(ISERROR(C30),LEFT(B30&amp;"",1)="#",IF(ISNUMBER(C30),AND(ISNUMBER(B30),ABS(C30-B30)&lt;=0.000001*MAX(1,ABS(B30))),EXACT(C30&amp;"",B30&amp;"")))</f>
      </c>
      <c r="E30">
        <f>ISERROR(C30)</f>
      </c>
    </row>
    <row r="31">
      <c r="A31" t="str">
        <v>F7</v>
      </c>
      <c r="B31">
        <v>1300000</v>
      </c>
      <c r="C31">
        <f>'luong'!F7</f>
      </c>
      <c r="D31">
        <f>IF(ISERROR(C31),LEFT(B31&amp;"",1)="#",IF(ISNUMBER(C31),AND(ISNUMBER(B31),ABS(C31-B31)&lt;=0.000001*MAX(1,ABS(B31))),EXACT(C31&amp;"",B31&amp;"")))</f>
      </c>
      <c r="E31">
        <f>ISERROR(C31)</f>
      </c>
    </row>
    <row r="32">
      <c r="A32" t="str">
        <v>F8</v>
      </c>
      <c r="B32">
        <v>1300000</v>
      </c>
      <c r="C32">
        <f>'luong'!F8</f>
      </c>
      <c r="D32">
        <f>IF(ISERROR(C32),LEFT(B32&amp;"",1)="#",IF(ISNUMBER(C32),AND(ISNUMBER(B32),ABS(C32-B32)&lt;=0.000001*MAX(1,ABS(B32))),EXACT(C32&amp;"",B32&amp;"")))</f>
      </c>
      <c r="E32">
        <f>ISERROR(C32)</f>
      </c>
    </row>
    <row r="33">
      <c r="A33" t="str">
        <v>F9</v>
      </c>
      <c r="B33">
        <v>700000</v>
      </c>
      <c r="C33">
        <f>'luong'!F9</f>
      </c>
      <c r="D33">
        <f>IF(ISERROR(C33),LEFT(B33&amp;"",1)="#",IF(ISNUMBER(C33),AND(ISNUMBER(B33),ABS(C33-B33)&lt;=0.000001*MAX(1,ABS(B33))),EXACT(C33&amp;"",B33&amp;"")))</f>
      </c>
      <c r="E33">
        <f>ISERROR(C33)</f>
      </c>
    </row>
    <row r="34">
      <c r="A34" t="str">
        <v>F10</v>
      </c>
      <c r="B34">
        <v>600000</v>
      </c>
      <c r="C34">
        <f>'luong'!F10</f>
      </c>
      <c r="D34">
        <f>IF(ISERROR(C34),LEFT(B34&amp;"",1)="#",IF(ISNUMBER(C34),AND(ISNUMBER(B34),ABS(C34-B34)&lt;=0.000001*MAX(1,ABS(B34))),EXACT(C34&amp;"",B34&amp;"")))</f>
      </c>
      <c r="E34">
        <f>ISERROR(C34)</f>
      </c>
    </row>
    <row r="35">
      <c r="A35" t="str">
        <v>F11</v>
      </c>
      <c r="B35">
        <v>600000</v>
      </c>
      <c r="C35">
        <f>'luong'!F11</f>
      </c>
      <c r="D35">
        <f>IF(ISERROR(C35),LEFT(B35&amp;"",1)="#",IF(ISNUMBER(C35),AND(ISNUMBER(B35),ABS(C35-B35)&lt;=0.000001*MAX(1,ABS(B35))),EXACT(C35&amp;"",B35&amp;"")))</f>
      </c>
      <c r="E35">
        <f>ISERROR(C35)</f>
      </c>
    </row>
    <row r="36">
      <c r="A36" t="str">
        <v>F12</v>
      </c>
      <c r="B36">
        <v>600000</v>
      </c>
      <c r="C36">
        <f>'luong'!F12</f>
      </c>
      <c r="D36">
        <f>IF(ISERROR(C36),LEFT(B36&amp;"",1)="#",IF(ISNUMBER(C36),AND(ISNUMBER(B36),ABS(C36-B36)&lt;=0.000001*MAX(1,ABS(B36))),EXACT(C36&amp;"",B36&amp;"")))</f>
      </c>
      <c r="E36">
        <f>ISERROR(C36)</f>
      </c>
    </row>
    <row r="37">
      <c r="A37" t="str">
        <v>F13</v>
      </c>
      <c r="B37">
        <v>700000</v>
      </c>
      <c r="C37">
        <f>'luong'!F13</f>
      </c>
      <c r="D37">
        <f>IF(ISERROR(C37),LEFT(B37&amp;"",1)="#",IF(ISNUMBER(C37),AND(ISNUMBER(B37),ABS(C37-B37)&lt;=0.000001*MAX(1,ABS(B37))),EXACT(C37&amp;"",B37&amp;"")))</f>
      </c>
      <c r="E37">
        <f>ISERROR(C37)</f>
      </c>
    </row>
    <row r="38">
      <c r="A38" t="str">
        <v>G2</v>
      </c>
      <c r="B38">
        <v>3</v>
      </c>
      <c r="C38">
        <f>'luong'!G2</f>
      </c>
      <c r="D38">
        <f>IF(ISERROR(C38),LEFT(B38&amp;"",1)="#",IF(ISNUMBER(C38),AND(ISNUMBER(B38),ABS(C38-B38)&lt;=0.000001*MAX(1,ABS(B38))),EXACT(C38&amp;"",B38&amp;"")))</f>
      </c>
      <c r="E38">
        <f>ISERROR(C38)</f>
      </c>
    </row>
    <row r="39">
      <c r="A39" t="str">
        <v>G3</v>
      </c>
      <c r="B39">
        <v>0</v>
      </c>
      <c r="C39">
        <f>'luong'!G3</f>
      </c>
      <c r="D39">
        <f>IF(ISERROR(C39),LEFT(B39&amp;"",1)="#",IF(ISNUMBER(C39),AND(ISNUMBER(B39),ABS(C39-B39)&lt;=0.000001*MAX(1,ABS(B39))),EXACT(C39&amp;"",B39&amp;"")))</f>
      </c>
      <c r="E39">
        <f>ISERROR(C39)</f>
      </c>
    </row>
    <row r="40">
      <c r="A40" t="str">
        <v>G4</v>
      </c>
      <c r="B40">
        <v>2</v>
      </c>
      <c r="C40">
        <f>'luong'!G4</f>
      </c>
      <c r="D40">
        <f>IF(ISERROR(C40),LEFT(B40&amp;"",1)="#",IF(ISNUMBER(C40),AND(ISNUMBER(B40),ABS(C40-B40)&lt;=0.000001*MAX(1,ABS(B40))),EXACT(C40&amp;"",B40&amp;"")))</f>
      </c>
      <c r="E40">
        <f>ISERROR(C40)</f>
      </c>
    </row>
    <row r="41">
      <c r="A41" t="str">
        <v>G5</v>
      </c>
      <c r="B41">
        <v>7</v>
      </c>
      <c r="C41">
        <f>'luong'!G5</f>
      </c>
      <c r="D41">
        <f>IF(ISERROR(C41),LEFT(B41&amp;"",1)="#",IF(ISNUMBER(C41),AND(ISNUMBER(B41),ABS(C41-B41)&lt;=0.000001*MAX(1,ABS(B41))),EXACT(C41&amp;"",B41&amp;"")))</f>
      </c>
      <c r="E41">
        <f>ISERROR(C41)</f>
      </c>
    </row>
    <row r="42">
      <c r="A42" t="str">
        <v>G6</v>
      </c>
      <c r="B42">
        <v>8</v>
      </c>
      <c r="C42">
        <f>'luong'!G6</f>
      </c>
      <c r="D42">
        <f>IF(ISERROR(C42),LEFT(B42&amp;"",1)="#",IF(ISNUMBER(C42),AND(ISNUMBER(B42),ABS(C42-B42)&lt;=0.000001*MAX(1,ABS(B42))),EXACT(C42&amp;"",B42&amp;"")))</f>
      </c>
      <c r="E42">
        <f>ISERROR(C42)</f>
      </c>
    </row>
    <row r="43">
      <c r="A43" t="str">
        <v>G7</v>
      </c>
      <c r="B43">
        <v>5</v>
      </c>
      <c r="C43">
        <f>'luong'!G7</f>
      </c>
      <c r="D43">
        <f>IF(ISERROR(C43),LEFT(B43&amp;"",1)="#",IF(ISNUMBER(C43),AND(ISNUMBER(B43),ABS(C43-B43)&lt;=0.000001*MAX(1,ABS(B43))),EXACT(C43&amp;"",B43&amp;"")))</f>
      </c>
      <c r="E43">
        <f>ISERROR(C43)</f>
      </c>
    </row>
    <row r="44">
      <c r="A44" t="str">
        <v>G8</v>
      </c>
      <c r="B44">
        <v>8</v>
      </c>
      <c r="C44">
        <f>'luong'!G8</f>
      </c>
      <c r="D44">
        <f>IF(ISERROR(C44),LEFT(B44&amp;"",1)="#",IF(ISNUMBER(C44),AND(ISNUMBER(B44),ABS(C44-B44)&lt;=0.000001*MAX(1,ABS(B44))),EXACT(C44&amp;"",B44&amp;"")))</f>
      </c>
      <c r="E44">
        <f>ISERROR(C44)</f>
      </c>
    </row>
    <row r="45">
      <c r="A45" t="str">
        <v>G9</v>
      </c>
      <c r="B45">
        <v>6</v>
      </c>
      <c r="C45">
        <f>'luong'!G9</f>
      </c>
      <c r="D45">
        <f>IF(ISERROR(C45),LEFT(B45&amp;"",1)="#",IF(ISNUMBER(C45),AND(ISNUMBER(B45),ABS(C45-B45)&lt;=0.000001*MAX(1,ABS(B45))),EXACT(C45&amp;"",B45&amp;"")))</f>
      </c>
      <c r="E45">
        <f>ISERROR(C45)</f>
      </c>
    </row>
    <row r="46">
      <c r="A46" t="str">
        <v>G10</v>
      </c>
      <c r="B46">
        <v>3</v>
      </c>
      <c r="C46">
        <f>'luong'!G10</f>
      </c>
      <c r="D46">
        <f>IF(ISERROR(C46),LEFT(B46&amp;"",1)="#",IF(ISNUMBER(C46),AND(ISNUMBER(B46),ABS(C46-B46)&lt;=0.000001*MAX(1,ABS(B46))),EXACT(C46&amp;"",B46&amp;"")))</f>
      </c>
      <c r="E46">
        <f>ISERROR(C46)</f>
      </c>
    </row>
    <row r="47">
      <c r="A47" t="str">
        <v>G11</v>
      </c>
      <c r="B47">
        <v>3</v>
      </c>
      <c r="C47">
        <f>'luong'!G11</f>
      </c>
      <c r="D47">
        <f>IF(ISERROR(C47),LEFT(B47&amp;"",1)="#",IF(ISNUMBER(C47),AND(ISNUMBER(B47),ABS(C47-B47)&lt;=0.000001*MAX(1,ABS(B47))),EXACT(C47&amp;"",B47&amp;"")))</f>
      </c>
      <c r="E47">
        <f>ISERROR(C47)</f>
      </c>
    </row>
    <row r="48">
      <c r="A48" t="str">
        <v>G12</v>
      </c>
      <c r="B48">
        <v>6</v>
      </c>
      <c r="C48">
        <f>'luong'!G12</f>
      </c>
      <c r="D48">
        <f>IF(ISERROR(C48),LEFT(B48&amp;"",1)="#",IF(ISNUMBER(C48),AND(ISNUMBER(B48),ABS(C48-B48)&lt;=0.000001*MAX(1,ABS(B48))),EXACT(C48&amp;"",B48&amp;"")))</f>
      </c>
      <c r="E48">
        <f>ISERROR(C48)</f>
      </c>
    </row>
    <row r="49">
      <c r="A49" t="str">
        <v>G13</v>
      </c>
      <c r="B49">
        <v>5</v>
      </c>
      <c r="C49">
        <f>'luong'!G13</f>
      </c>
      <c r="D49">
        <f>IF(ISERROR(C49),LEFT(B49&amp;"",1)="#",IF(ISNUMBER(C49),AND(ISNUMBER(B49),ABS(C49-B49)&lt;=0.000001*MAX(1,ABS(B49))),EXACT(C49&amp;"",B49&amp;"")))</f>
      </c>
      <c r="E49">
        <f>ISERROR(C49)</f>
      </c>
    </row>
    <row r="50">
      <c r="A50" t="str">
        <v>H2</v>
      </c>
      <c r="B50">
        <v>8553846</v>
      </c>
      <c r="C50">
        <f>'luong'!H2</f>
      </c>
      <c r="D50">
        <f>IF(ISERROR(C50),LEFT(B50&amp;"",1)="#",IF(ISNUMBER(C50),AND(ISNUMBER(B50),ABS(C50-B50)&lt;=0.000001*MAX(1,ABS(B50))),EXACT(C50&amp;"",B50&amp;"")))</f>
      </c>
      <c r="E50">
        <f>ISERROR(C50)</f>
      </c>
    </row>
    <row r="51">
      <c r="A51" t="str">
        <v>H3</v>
      </c>
      <c r="B51">
        <v>17069231</v>
      </c>
      <c r="C51">
        <f>'luong'!H3</f>
      </c>
      <c r="D51">
        <f>IF(ISERROR(C51),LEFT(B51&amp;"",1)="#",IF(ISNUMBER(C51),AND(ISNUMBER(B51),ABS(C51-B51)&lt;=0.000001*MAX(1,ABS(B51))),EXACT(C51&amp;"",B51&amp;"")))</f>
      </c>
      <c r="E51">
        <f>ISERROR(C51)</f>
      </c>
    </row>
    <row r="52">
      <c r="A52" t="str">
        <v>H4</v>
      </c>
      <c r="B52">
        <v>14857692</v>
      </c>
      <c r="C52">
        <f>'luong'!H4</f>
      </c>
      <c r="D52">
        <f>IF(ISERROR(C52),LEFT(B52&amp;"",1)="#",IF(ISNUMBER(C52),AND(ISNUMBER(B52),ABS(C52-B52)&lt;=0.000001*MAX(1,ABS(B52))),EXACT(C52&amp;"",B52&amp;"")))</f>
      </c>
      <c r="E52">
        <f>ISERROR(C52)</f>
      </c>
    </row>
    <row r="53">
      <c r="A53" t="str">
        <v>H5</v>
      </c>
      <c r="B53">
        <v>14007692</v>
      </c>
      <c r="C53">
        <f>'luong'!H5</f>
      </c>
      <c r="D53">
        <f>IF(ISERROR(C53),LEFT(B53&amp;"",1)="#",IF(ISNUMBER(C53),AND(ISNUMBER(B53),ABS(C53-B53)&lt;=0.000001*MAX(1,ABS(B53))),EXACT(C53&amp;"",B53&amp;"")))</f>
      </c>
      <c r="E53">
        <f>ISERROR(C53)</f>
      </c>
    </row>
    <row r="54">
      <c r="A54" t="str">
        <v>H6</v>
      </c>
      <c r="B54">
        <v>10876923</v>
      </c>
      <c r="C54">
        <f>'luong'!H6</f>
      </c>
      <c r="D54">
        <f>IF(ISERROR(C54),LEFT(B54&amp;"",1)="#",IF(ISNUMBER(C54),AND(ISNUMBER(B54),ABS(C54-B54)&lt;=0.000001*MAX(1,ABS(B54))),EXACT(C54&amp;"",B54&amp;"")))</f>
      </c>
      <c r="E54">
        <f>ISERROR(C54)</f>
      </c>
    </row>
    <row r="55">
      <c r="A55" t="str">
        <v>H7</v>
      </c>
      <c r="B55">
        <v>8461538</v>
      </c>
      <c r="C55">
        <f>'luong'!H7</f>
      </c>
      <c r="D55">
        <f>IF(ISERROR(C55),LEFT(B55&amp;"",1)="#",IF(ISNUMBER(C55),AND(ISNUMBER(B55),ABS(C55-B55)&lt;=0.000001*MAX(1,ABS(B55))),EXACT(C55&amp;"",B55&amp;"")))</f>
      </c>
      <c r="E55">
        <f>ISERROR(C55)</f>
      </c>
    </row>
    <row r="56">
      <c r="A56" t="str">
        <v>H8</v>
      </c>
      <c r="B56">
        <v>17730769</v>
      </c>
      <c r="C56">
        <f>'luong'!H8</f>
      </c>
      <c r="D56">
        <f>IF(ISERROR(C56),LEFT(B56&amp;"",1)="#",IF(ISNUMBER(C56),AND(ISNUMBER(B56),ABS(C56-B56)&lt;=0.000001*MAX(1,ABS(B56))),EXACT(C56&amp;"",B56&amp;"")))</f>
      </c>
      <c r="E56">
        <f>ISERROR(C56)</f>
      </c>
    </row>
    <row r="57">
      <c r="A57" t="str">
        <v>H9</v>
      </c>
      <c r="B57">
        <v>16607692</v>
      </c>
      <c r="C57">
        <f>'luong'!H9</f>
      </c>
      <c r="D57">
        <f>IF(ISERROR(C57),LEFT(B57&amp;"",1)="#",IF(ISNUMBER(C57),AND(ISNUMBER(B57),ABS(C57-B57)&lt;=0.000001*MAX(1,ABS(B57))),EXACT(C57&amp;"",B57&amp;"")))</f>
      </c>
      <c r="E57">
        <f>ISERROR(C57)</f>
      </c>
    </row>
    <row r="58">
      <c r="A58" t="str">
        <v>H10</v>
      </c>
      <c r="B58">
        <v>11053846</v>
      </c>
      <c r="C58">
        <f>'luong'!H10</f>
      </c>
      <c r="D58">
        <f>IF(ISERROR(C58),LEFT(B58&amp;"",1)="#",IF(ISNUMBER(C58),AND(ISNUMBER(B58),ABS(C58-B58)&lt;=0.000001*MAX(1,ABS(B58))),EXACT(C58&amp;"",B58&amp;"")))</f>
      </c>
      <c r="E58">
        <f>ISERROR(C58)</f>
      </c>
    </row>
    <row r="59">
      <c r="A59" t="str">
        <v>H11</v>
      </c>
      <c r="B59">
        <v>9888462</v>
      </c>
      <c r="C59">
        <f>'luong'!H11</f>
      </c>
      <c r="D59">
        <f>IF(ISERROR(C59),LEFT(B59&amp;"",1)="#",IF(ISNUMBER(C59),AND(ISNUMBER(B59),ABS(C59-B59)&lt;=0.000001*MAX(1,ABS(B59))),EXACT(C59&amp;"",B59&amp;"")))</f>
      </c>
      <c r="E59">
        <f>ISERROR(C59)</f>
      </c>
    </row>
    <row r="60">
      <c r="A60" t="str">
        <v>H12</v>
      </c>
      <c r="B60">
        <v>11215385</v>
      </c>
      <c r="C60">
        <f>'luong'!H12</f>
      </c>
      <c r="D60">
        <f>IF(ISERROR(C60),LEFT(B60&amp;"",1)="#",IF(ISNUMBER(C60),AND(ISNUMBER(B60),ABS(C60-B60)&lt;=0.000001*MAX(1,ABS(B60))),EXACT(C60&amp;"",B60&amp;"")))</f>
      </c>
      <c r="E60">
        <f>ISERROR(C60)</f>
      </c>
    </row>
    <row r="61">
      <c r="A61" t="str">
        <v>H13</v>
      </c>
      <c r="B61">
        <v>6084615</v>
      </c>
      <c r="C61">
        <f>'luong'!H13</f>
      </c>
      <c r="D61">
        <f>IF(ISERROR(C61),LEFT(B61&amp;"",1)="#",IF(ISNUMBER(C61),AND(ISNUMBER(B61),ABS(C61-B61)&lt;=0.000001*MAX(1,ABS(B61))),EXACT(C61&amp;"",B61&amp;"")))</f>
      </c>
      <c r="E61">
        <f>ISERROR(C61)</f>
      </c>
    </row>
    <row r="62">
      <c r="A62" t="str">
        <v>I2</v>
      </c>
      <c r="B62" t="str">
        <v>B</v>
      </c>
      <c r="C62">
        <f>'luong'!I2</f>
      </c>
      <c r="D62">
        <f>IF(ISERROR(C62),LEFT(B62&amp;"",1)="#",IF(ISNUMBER(C62),AND(ISNUMBER(B62),ABS(C62-B62)&lt;=0.000001*MAX(1,ABS(B62))),EXACT(C62&amp;"",B62&amp;"")))</f>
      </c>
      <c r="E62">
        <f>ISERROR(C62)</f>
      </c>
    </row>
    <row r="63">
      <c r="A63" t="str">
        <v>I3</v>
      </c>
      <c r="B63" t="str">
        <v>B</v>
      </c>
      <c r="C63">
        <f>'luong'!I3</f>
      </c>
      <c r="D63">
        <f>IF(ISERROR(C63),LEFT(B63&amp;"",1)="#",IF(ISNUMBER(C63),AND(ISNUMBER(B63),ABS(C63-B63)&lt;=0.000001*MAX(1,ABS(B63))),EXACT(C63&amp;"",B63&amp;"")))</f>
      </c>
      <c r="E63">
        <f>ISERROR(C63)</f>
      </c>
    </row>
    <row r="64">
      <c r="A64" t="str">
        <v>I4</v>
      </c>
      <c r="B64" t="str">
        <v>C</v>
      </c>
      <c r="C64">
        <f>'luong'!I4</f>
      </c>
      <c r="D64">
        <f>IF(ISERROR(C64),LEFT(B64&amp;"",1)="#",IF(ISNUMBER(C64),AND(ISNUMBER(B64),ABS(C64-B64)&lt;=0.000001*MAX(1,ABS(B64))),EXACT(C64&amp;"",B64&amp;"")))</f>
      </c>
      <c r="E64">
        <f>ISERROR(C64)</f>
      </c>
    </row>
    <row r="65">
      <c r="A65" t="str">
        <v>I5</v>
      </c>
      <c r="B65" t="str">
        <v>C</v>
      </c>
      <c r="C65">
        <f>'luong'!I5</f>
      </c>
      <c r="D65">
        <f>IF(ISERROR(C65),LEFT(B65&amp;"",1)="#",IF(ISNUMBER(C65),AND(ISNUMBER(B65),ABS(C65-B65)&lt;=0.000001*MAX(1,ABS(B65))),EXACT(C65&amp;"",B65&amp;"")))</f>
      </c>
      <c r="E65">
        <f>ISERROR(C65)</f>
      </c>
    </row>
    <row r="66">
      <c r="A66" t="str">
        <v>I6</v>
      </c>
      <c r="B66" t="str">
        <v>A</v>
      </c>
      <c r="C66">
        <f>'luong'!I6</f>
      </c>
      <c r="D66">
        <f>IF(ISERROR(C66),LEFT(B66&amp;"",1)="#",IF(ISNUMBER(C66),AND(ISNUMBER(B66),ABS(C66-B66)&lt;=0.000001*MAX(1,ABS(B66))),EXACT(C66&amp;"",B66&amp;"")))</f>
      </c>
      <c r="E66">
        <f>ISERROR(C66)</f>
      </c>
    </row>
    <row r="67">
      <c r="A67" t="str">
        <v>I7</v>
      </c>
      <c r="B67" t="str">
        <v>C</v>
      </c>
      <c r="C67">
        <f>'luong'!I7</f>
      </c>
      <c r="D67">
        <f>IF(ISERROR(C67),LEFT(B67&amp;"",1)="#",IF(ISNUMBER(C67),AND(ISNUMBER(B67),ABS(C67-B67)&lt;=0.000001*MAX(1,ABS(B67))),EXACT(C67&amp;"",B67&amp;"")))</f>
      </c>
      <c r="E67">
        <f>ISERROR(C67)</f>
      </c>
    </row>
    <row r="68">
      <c r="A68" t="str">
        <v>I8</v>
      </c>
      <c r="B68" t="str">
        <v>B</v>
      </c>
      <c r="C68">
        <f>'luong'!I8</f>
      </c>
      <c r="D68">
        <f>IF(ISERROR(C68),LEFT(B68&amp;"",1)="#",IF(ISNUMBER(C68),AND(ISNUMBER(B68),ABS(C68-B68)&lt;=0.000001*MAX(1,ABS(B68))),EXACT(C68&amp;"",B68&amp;"")))</f>
      </c>
      <c r="E68">
        <f>ISERROR(C68)</f>
      </c>
    </row>
    <row r="69">
      <c r="A69" t="str">
        <v>I9</v>
      </c>
      <c r="B69" t="str">
        <v>B</v>
      </c>
      <c r="C69">
        <f>'luong'!I9</f>
      </c>
      <c r="D69">
        <f>IF(ISERROR(C69),LEFT(B69&amp;"",1)="#",IF(ISNUMBER(C69),AND(ISNUMBER(B69),ABS(C69-B69)&lt;=0.000001*MAX(1,ABS(B69))),EXACT(C69&amp;"",B69&amp;"")))</f>
      </c>
      <c r="E69">
        <f>ISERROR(C69)</f>
      </c>
    </row>
    <row r="70">
      <c r="A70" t="str">
        <v>I10</v>
      </c>
      <c r="B70" t="str">
        <v>C</v>
      </c>
      <c r="C70">
        <f>'luong'!I10</f>
      </c>
      <c r="D70">
        <f>IF(ISERROR(C70),LEFT(B70&amp;"",1)="#",IF(ISNUMBER(C70),AND(ISNUMBER(B70),ABS(C70-B70)&lt;=0.000001*MAX(1,ABS(B70))),EXACT(C70&amp;"",B70&amp;"")))</f>
      </c>
      <c r="E70">
        <f>ISERROR(C70)</f>
      </c>
    </row>
    <row r="71">
      <c r="A71" t="str">
        <v>I11</v>
      </c>
      <c r="B71" t="str">
        <v>C</v>
      </c>
      <c r="C71">
        <f>'luong'!I11</f>
      </c>
      <c r="D71">
        <f>IF(ISERROR(C71),LEFT(B71&amp;"",1)="#",IF(ISNUMBER(C71),AND(ISNUMBER(B71),ABS(C71-B71)&lt;=0.000001*MAX(1,ABS(B71))),EXACT(C71&amp;"",B71&amp;"")))</f>
      </c>
      <c r="E71">
        <f>ISERROR(C71)</f>
      </c>
    </row>
    <row r="72">
      <c r="A72" t="str">
        <v>I12</v>
      </c>
      <c r="B72" t="str">
        <v>B</v>
      </c>
      <c r="C72">
        <f>'luong'!I12</f>
      </c>
      <c r="D72">
        <f>IF(ISERROR(C72),LEFT(B72&amp;"",1)="#",IF(ISNUMBER(C72),AND(ISNUMBER(B72),ABS(C72-B72)&lt;=0.000001*MAX(1,ABS(B72))),EXACT(C72&amp;"",B72&amp;"")))</f>
      </c>
      <c r="E72">
        <f>ISERROR(C72)</f>
      </c>
    </row>
    <row r="73">
      <c r="A73" t="str">
        <v>I13</v>
      </c>
      <c r="B73" t="str">
        <v>C</v>
      </c>
      <c r="C73">
        <f>'luong'!I13</f>
      </c>
      <c r="D73">
        <f>IF(ISERROR(C73),LEFT(B73&amp;"",1)="#",IF(ISNUMBER(C73),AND(ISNUMBER(B73),ABS(C73-B73)&lt;=0.000001*MAX(1,ABS(B73))),EXACT(C73&amp;"",B73&amp;"")))</f>
      </c>
      <c r="E73">
        <f>ISERROR(C73)</f>
      </c>
    </row>
    <row r="74">
      <c r="A74" t="str">
        <v>Z2</v>
      </c>
      <c r="B74">
        <v>40711539</v>
      </c>
      <c r="C74">
        <f>'luong'!Z2</f>
      </c>
      <c r="D74">
        <f>IF(ISERROR(C74),LEFT(B74&amp;"",1)="#",IF(ISNUMBER(C74),AND(ISNUMBER(B74),ABS(C74-B74)&lt;=0.000001*MAX(1,ABS(B74))),EXACT(C74&amp;"",B74&amp;"")))</f>
      </c>
      <c r="E74">
        <f>ISERROR(C74)</f>
      </c>
    </row>
    <row r="75">
      <c r="A75" t="str">
        <v>Z3</v>
      </c>
      <c r="B75">
        <v>2</v>
      </c>
      <c r="C75">
        <f>'luong'!Z3</f>
      </c>
      <c r="D75">
        <f>IF(ISERROR(C75),LEFT(B75&amp;"",1)="#",IF(ISNUMBER(C75),AND(ISNUMBER(B75),ABS(C75-B75)&lt;=0.000001*MAX(1,ABS(B75))),EXACT(C75&amp;"",B75&amp;"")))</f>
      </c>
      <c r="E75">
        <f>ISERROR(C75)</f>
      </c>
    </row>
    <row r="76">
      <c r="A76" t="str">
        <v>Z4</v>
      </c>
      <c r="B76">
        <v>16607692</v>
      </c>
      <c r="C76">
        <f>'luong'!Z4</f>
      </c>
      <c r="D76">
        <f>IF(ISERROR(C76),LEFT(B76&amp;"",1)="#",IF(ISNUMBER(C76),AND(ISNUMBER(B76),ABS(C76-B76)&lt;=0.000001*MAX(1,ABS(B76))),EXACT(C76&amp;"",B76&amp;"")))</f>
      </c>
      <c r="E76">
        <f>ISERROR(C76)</f>
      </c>
    </row>
    <row r="77">
      <c r="A77" t="str">
        <v>Z5</v>
      </c>
      <c r="B77">
        <v>17900000</v>
      </c>
      <c r="C77">
        <f>'luong'!Z5</f>
      </c>
      <c r="D77">
        <f>IF(ISERROR(C77),LEFT(B77&amp;"",1)="#",IF(ISNUMBER(C77),AND(ISNUMBER(B77),ABS(C77-B77)&lt;=0.000001*MAX(1,ABS(B77))),EXACT(C77&amp;"",B77&amp;"")))</f>
      </c>
      <c r="E77">
        <f>ISERROR(C77)</f>
      </c>
    </row>
    <row r="78">
      <c r="A78" t="str">
        <v>Z6</v>
      </c>
      <c r="B78">
        <v>14857692</v>
      </c>
      <c r="C78">
        <f>'luong'!Z6</f>
      </c>
      <c r="D78">
        <f>IF(ISERROR(C78),LEFT(B78&amp;"",1)="#",IF(ISNUMBER(C78),AND(ISNUMBER(B78),ABS(C78-B78)&lt;=0.000001*MAX(1,ABS(B78))),EXACT(C78&amp;"",B78&amp;"")))</f>
      </c>
      <c r="E78">
        <f>ISERROR(C78)</f>
      </c>
    </row>
    <row r="79">
      <c r="A79" t="str">
        <v>Z7</v>
      </c>
      <c r="B79">
        <v>1</v>
      </c>
      <c r="C79">
        <f>'luong'!Z7</f>
      </c>
      <c r="D79">
        <f>IF(ISERROR(C79),LEFT(B79&amp;"",1)="#",IF(ISNUMBER(C79),AND(ISNUMBER(B79),ABS(C79-B79)&lt;=0.000001*MAX(1,ABS(B79))),EXACT(C79&amp;"",B79&amp;"")))</f>
      </c>
      <c r="E79">
        <f>ISERROR(C79)</f>
      </c>
    </row>
    <row r="80">
      <c r="A80" t="str">
        <v>Z8</v>
      </c>
      <c r="B80">
        <v>47576922</v>
      </c>
      <c r="C80">
        <f>'luong'!Z8</f>
      </c>
      <c r="D80">
        <f>IF(ISERROR(C80),LEFT(B80&amp;"",1)="#",IF(ISNUMBER(C80),AND(ISNUMBER(B80),ABS(C80-B80)&lt;=0.000001*MAX(1,ABS(B80))),EXACT(C80&amp;"",B80&amp;"")))</f>
      </c>
      <c r="E80">
        <f>ISERROR(C80)</f>
      </c>
    </row>
    <row r="81">
      <c r="A81" t="str">
        <v>Z9</v>
      </c>
      <c r="B81">
        <v>1</v>
      </c>
      <c r="C81">
        <f>'luong'!Z9</f>
      </c>
      <c r="D81">
        <f>IF(ISERROR(C81),LEFT(B81&amp;"",1)="#",IF(ISNUMBER(C81),AND(ISNUMBER(B81),ABS(C81-B81)&lt;=0.000001*MAX(1,ABS(B81))),EXACT(C81&amp;"",B81&amp;"")))</f>
      </c>
      <c r="E81">
        <f>ISERROR(C81)</f>
      </c>
    </row>
  </sheetData>
  <ignoredErrors>
    <ignoredError numberStoredAsText="1" sqref="A1:E81"/>
  </ignoredErrors>
</worksheet>
</file>

<file path=xl/worksheets/sheet8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MaDo</v>
      </c>
      <c r="B1" t="str">
        <v>X</v>
      </c>
      <c r="C1" t="str">
        <v>Y</v>
      </c>
      <c r="D1" t="str">
        <v>YDuBao</v>
      </c>
      <c r="E1" t="str">
        <v>SaiSo</v>
      </c>
      <c r="Y1" t="str">
        <v>TongHop</v>
      </c>
      <c r="Z1" t="str">
        <v>KetQua</v>
      </c>
    </row>
    <row r="2">
      <c r="A2" t="str">
        <v>D01</v>
      </c>
      <c r="B2">
        <v>1</v>
      </c>
      <c r="C2">
        <v>15.9</v>
      </c>
      <c r="D2">
        <f>ROUND(SLOPE($C$2:$C$13,$B$2:$B$13)*B2+INTERCEPT($C$2:$C$13,$B$2:$B$13),2)</f>
        <v>14.92</v>
      </c>
      <c r="E2">
        <f>ROUND(C2-D2,2)</f>
        <v>0.98</v>
      </c>
      <c r="Y2" t="str">
        <v>He so goc</v>
      </c>
      <c r="Z2">
        <f>ROUND(SLOPE(C2:C13,B2:B13),4)</f>
        <v>7.1612</v>
      </c>
    </row>
    <row r="3">
      <c r="A3" t="str">
        <v>D02</v>
      </c>
      <c r="B3">
        <v>2</v>
      </c>
      <c r="C3">
        <v>20.3</v>
      </c>
      <c r="D3">
        <f>ROUND(SLOPE($C$2:$C$13,$B$2:$B$13)*B3+INTERCEPT($C$2:$C$13,$B$2:$B$13),2)</f>
        <v>22.08</v>
      </c>
      <c r="E3">
        <f>ROUND(C3-D3,2)</f>
        <v>-1.78</v>
      </c>
      <c r="Y3" t="str">
        <v>He so chan</v>
      </c>
      <c r="Z3">
        <f>ROUND(INTERCEPT(C2:C13,B2:B13),4)</f>
        <v>7.7606</v>
      </c>
    </row>
    <row r="4">
      <c r="A4" t="str">
        <v>D03</v>
      </c>
      <c r="B4">
        <v>3</v>
      </c>
      <c r="C4">
        <v>28.1</v>
      </c>
      <c r="D4">
        <f>ROUND(SLOPE($C$2:$C$13,$B$2:$B$13)*B4+INTERCEPT($C$2:$C$13,$B$2:$B$13),2)</f>
        <v>29.24</v>
      </c>
      <c r="E4">
        <f>ROUND(C4-D4,2)</f>
        <v>-1.14</v>
      </c>
      <c r="Y4" t="str">
        <v>He so tuong quan</v>
      </c>
      <c r="Z4">
        <f>ROUND(CORREL(B2:B13,C2:C13),4)</f>
        <v>0.9975</v>
      </c>
    </row>
    <row r="5">
      <c r="A5" t="str">
        <v>D04</v>
      </c>
      <c r="B5">
        <v>4</v>
      </c>
      <c r="C5">
        <v>39.3</v>
      </c>
      <c r="D5">
        <f>ROUND(SLOPE($C$2:$C$13,$B$2:$B$13)*B5+INTERCEPT($C$2:$C$13,$B$2:$B$13),2)</f>
        <v>36.41</v>
      </c>
      <c r="E5">
        <f>ROUND(C5-D5,2)</f>
        <v>2.89</v>
      </c>
      <c r="Y5" t="str">
        <v>Y trung binh</v>
      </c>
      <c r="Z5">
        <f>ROUND(AVERAGE(C2:C13),2)</f>
        <v>54.31</v>
      </c>
    </row>
    <row r="6">
      <c r="A6" t="str">
        <v>D05</v>
      </c>
      <c r="B6">
        <v>5</v>
      </c>
      <c r="C6">
        <v>41</v>
      </c>
      <c r="D6">
        <f>ROUND(SLOPE($C$2:$C$13,$B$2:$B$13)*B6+INTERCEPT($C$2:$C$13,$B$2:$B$13),2)</f>
        <v>43.57</v>
      </c>
      <c r="E6">
        <f>ROUND(C6-D6,2)</f>
        <v>-2.57</v>
      </c>
      <c r="Y6" t="str">
        <v>Do lech chuan Y</v>
      </c>
      <c r="Z6">
        <f>ROUND(STDEV(C2:C13),2)</f>
        <v>25.88</v>
      </c>
    </row>
    <row r="7">
      <c r="A7" t="str">
        <v>D06</v>
      </c>
      <c r="B7">
        <v>6</v>
      </c>
      <c r="C7">
        <v>53.3</v>
      </c>
      <c r="D7">
        <f>ROUND(SLOPE($C$2:$C$13,$B$2:$B$13)*B7+INTERCEPT($C$2:$C$13,$B$2:$B$13),2)</f>
        <v>50.73</v>
      </c>
      <c r="E7">
        <f>ROUND(C7-D7,2)</f>
        <v>2.57</v>
      </c>
      <c r="Y7" t="str">
        <v>Y lon nhat</v>
      </c>
      <c r="Z7">
        <f>MAX(C2:C13)</f>
        <v>95</v>
      </c>
    </row>
    <row r="8">
      <c r="A8" t="str">
        <v>D07</v>
      </c>
      <c r="B8">
        <v>7</v>
      </c>
      <c r="C8">
        <v>56.8</v>
      </c>
      <c r="D8">
        <f>ROUND(SLOPE($C$2:$C$13,$B$2:$B$13)*B8+INTERCEPT($C$2:$C$13,$B$2:$B$13),2)</f>
        <v>57.89</v>
      </c>
      <c r="E8">
        <f>ROUND(C8-D8,2)</f>
        <v>-1.09</v>
      </c>
      <c r="Y8" t="str">
        <v>X cua diem Y lon nhat</v>
      </c>
      <c r="Z8" t="str">
        <f>INDEX(B2:B13,MATCH(MAX(C2:C13),C2:C13,0))</f>
        <v>12</v>
      </c>
    </row>
    <row r="9">
      <c r="A9" t="str">
        <v>D08</v>
      </c>
      <c r="B9">
        <v>8</v>
      </c>
      <c r="C9">
        <v>66.3</v>
      </c>
      <c r="D9">
        <f>ROUND(SLOPE($C$2:$C$13,$B$2:$B$13)*B9+INTERCEPT($C$2:$C$13,$B$2:$B$13),2)</f>
        <v>65.05</v>
      </c>
      <c r="E9">
        <f>ROUND(C9-D9,2)</f>
        <v>1.25</v>
      </c>
      <c r="Y9" t="str">
        <v>Tong X x Y</v>
      </c>
      <c r="Z9">
        <f>SUMPRODUCT(B2:B13,C2:C13)</f>
        <v>5260.099999999999</v>
      </c>
    </row>
    <row r="10">
      <c r="A10" t="str">
        <v>D09</v>
      </c>
      <c r="B10">
        <v>9</v>
      </c>
      <c r="C10">
        <v>72.8</v>
      </c>
      <c r="D10">
        <f>ROUND(SLOPE($C$2:$C$13,$B$2:$B$13)*B10+INTERCEPT($C$2:$C$13,$B$2:$B$13),2)</f>
        <v>72.21</v>
      </c>
      <c r="E10">
        <f>ROUND(C10-D10,2)</f>
        <v>0.59</v>
      </c>
      <c r="Y10" t="str">
        <v>Tong sai so tuyet doi</v>
      </c>
      <c r="Z10">
        <f>SUMIF(E2:E13,"&gt;0")-SUMIF(E2:E13,"&lt;0")</f>
        <v>19.17</v>
      </c>
    </row>
    <row r="11">
      <c r="A11" t="str">
        <v>D10</v>
      </c>
      <c r="B11">
        <v>10</v>
      </c>
      <c r="C11">
        <v>77.8</v>
      </c>
      <c r="D11">
        <f>ROUND(SLOPE($C$2:$C$13,$B$2:$B$13)*B11+INTERCEPT($C$2:$C$13,$B$2:$B$13),2)</f>
        <v>79.37</v>
      </c>
      <c r="E11">
        <f>ROUND(C11-D11,2)</f>
        <v>-1.57</v>
      </c>
    </row>
    <row r="12">
      <c r="A12" t="str">
        <v>D11</v>
      </c>
      <c r="B12">
        <v>11</v>
      </c>
      <c r="C12">
        <v>85.1</v>
      </c>
      <c r="D12">
        <f>ROUND(SLOPE($C$2:$C$13,$B$2:$B$13)*B12+INTERCEPT($C$2:$C$13,$B$2:$B$13),2)</f>
        <v>86.53</v>
      </c>
      <c r="E12">
        <f>ROUND(C12-D12,2)</f>
        <v>-1.43</v>
      </c>
    </row>
    <row r="13">
      <c r="A13" t="str">
        <v>D12</v>
      </c>
      <c r="B13">
        <v>12</v>
      </c>
      <c r="C13">
        <v>95</v>
      </c>
      <c r="D13">
        <f>ROUND(SLOPE($C$2:$C$13,$B$2:$B$13)*B13+INTERCEPT($C$2:$C$13,$B$2:$B$13),2)</f>
        <v>93.69</v>
      </c>
      <c r="E13">
        <f>ROUND(C13-D13,2)</f>
        <v>1.31</v>
      </c>
    </row>
  </sheetData>
  <ignoredErrors>
    <ignoredError numberStoredAsText="1" sqref="A1:Z13"/>
  </ignoredErrors>
</worksheet>
</file>

<file path=xl/worksheets/sheet85.xml><?xml version="1.0" encoding="utf-8"?>
<worksheet xmlns="http://schemas.openxmlformats.org/spreadsheetml/2006/main" xmlns:r="http://schemas.openxmlformats.org/officeDocument/2006/relationships">
  <dimension ref="A1:E3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14.92</v>
      </c>
      <c r="C2">
        <f>'hoiquy'!D2</f>
      </c>
      <c r="D2">
        <f>IF(ISERROR(C2),LEFT(B2&amp;"",1)="#",IF(ISNUMBER(C2),AND(ISNUMBER(B2),ABS(C2-B2)&lt;=0.000001*MAX(1,ABS(B2))),EXACT(C2&amp;"",B2&amp;"")))</f>
      </c>
      <c r="E2">
        <f>ISERROR(C2)</f>
      </c>
    </row>
    <row r="3">
      <c r="A3" t="str">
        <v>D3</v>
      </c>
      <c r="B3">
        <v>22.08</v>
      </c>
      <c r="C3">
        <f>'hoiquy'!D3</f>
      </c>
      <c r="D3">
        <f>IF(ISERROR(C3),LEFT(B3&amp;"",1)="#",IF(ISNUMBER(C3),AND(ISNUMBER(B3),ABS(C3-B3)&lt;=0.000001*MAX(1,ABS(B3))),EXACT(C3&amp;"",B3&amp;"")))</f>
      </c>
      <c r="E3">
        <f>ISERROR(C3)</f>
      </c>
    </row>
    <row r="4">
      <c r="A4" t="str">
        <v>D4</v>
      </c>
      <c r="B4">
        <v>29.24</v>
      </c>
      <c r="C4">
        <f>'hoiquy'!D4</f>
      </c>
      <c r="D4">
        <f>IF(ISERROR(C4),LEFT(B4&amp;"",1)="#",IF(ISNUMBER(C4),AND(ISNUMBER(B4),ABS(C4-B4)&lt;=0.000001*MAX(1,ABS(B4))),EXACT(C4&amp;"",B4&amp;"")))</f>
      </c>
      <c r="E4">
        <f>ISERROR(C4)</f>
      </c>
    </row>
    <row r="5">
      <c r="A5" t="str">
        <v>D5</v>
      </c>
      <c r="B5">
        <v>36.41</v>
      </c>
      <c r="C5">
        <f>'hoiquy'!D5</f>
      </c>
      <c r="D5">
        <f>IF(ISERROR(C5),LEFT(B5&amp;"",1)="#",IF(ISNUMBER(C5),AND(ISNUMBER(B5),ABS(C5-B5)&lt;=0.000001*MAX(1,ABS(B5))),EXACT(C5&amp;"",B5&amp;"")))</f>
      </c>
      <c r="E5">
        <f>ISERROR(C5)</f>
      </c>
    </row>
    <row r="6">
      <c r="A6" t="str">
        <v>D6</v>
      </c>
      <c r="B6">
        <v>43.57</v>
      </c>
      <c r="C6">
        <f>'hoiquy'!D6</f>
      </c>
      <c r="D6">
        <f>IF(ISERROR(C6),LEFT(B6&amp;"",1)="#",IF(ISNUMBER(C6),AND(ISNUMBER(B6),ABS(C6-B6)&lt;=0.000001*MAX(1,ABS(B6))),EXACT(C6&amp;"",B6&amp;"")))</f>
      </c>
      <c r="E6">
        <f>ISERROR(C6)</f>
      </c>
    </row>
    <row r="7">
      <c r="A7" t="str">
        <v>D7</v>
      </c>
      <c r="B7">
        <v>50.73</v>
      </c>
      <c r="C7">
        <f>'hoiquy'!D7</f>
      </c>
      <c r="D7">
        <f>IF(ISERROR(C7),LEFT(B7&amp;"",1)="#",IF(ISNUMBER(C7),AND(ISNUMBER(B7),ABS(C7-B7)&lt;=0.000001*MAX(1,ABS(B7))),EXACT(C7&amp;"",B7&amp;"")))</f>
      </c>
      <c r="E7">
        <f>ISERROR(C7)</f>
      </c>
    </row>
    <row r="8">
      <c r="A8" t="str">
        <v>D8</v>
      </c>
      <c r="B8">
        <v>57.89</v>
      </c>
      <c r="C8">
        <f>'hoiquy'!D8</f>
      </c>
      <c r="D8">
        <f>IF(ISERROR(C8),LEFT(B8&amp;"",1)="#",IF(ISNUMBER(C8),AND(ISNUMBER(B8),ABS(C8-B8)&lt;=0.000001*MAX(1,ABS(B8))),EXACT(C8&amp;"",B8&amp;"")))</f>
      </c>
      <c r="E8">
        <f>ISERROR(C8)</f>
      </c>
    </row>
    <row r="9">
      <c r="A9" t="str">
        <v>D9</v>
      </c>
      <c r="B9">
        <v>65.05</v>
      </c>
      <c r="C9">
        <f>'hoiquy'!D9</f>
      </c>
      <c r="D9">
        <f>IF(ISERROR(C9),LEFT(B9&amp;"",1)="#",IF(ISNUMBER(C9),AND(ISNUMBER(B9),ABS(C9-B9)&lt;=0.000001*MAX(1,ABS(B9))),EXACT(C9&amp;"",B9&amp;"")))</f>
      </c>
      <c r="E9">
        <f>ISERROR(C9)</f>
      </c>
    </row>
    <row r="10">
      <c r="A10" t="str">
        <v>D10</v>
      </c>
      <c r="B10">
        <v>72.21</v>
      </c>
      <c r="C10">
        <f>'hoiquy'!D10</f>
      </c>
      <c r="D10">
        <f>IF(ISERROR(C10),LEFT(B10&amp;"",1)="#",IF(ISNUMBER(C10),AND(ISNUMBER(B10),ABS(C10-B10)&lt;=0.000001*MAX(1,ABS(B10))),EXACT(C10&amp;"",B10&amp;"")))</f>
      </c>
      <c r="E10">
        <f>ISERROR(C10)</f>
      </c>
    </row>
    <row r="11">
      <c r="A11" t="str">
        <v>D11</v>
      </c>
      <c r="B11">
        <v>79.37</v>
      </c>
      <c r="C11">
        <f>'hoiquy'!D11</f>
      </c>
      <c r="D11">
        <f>IF(ISERROR(C11),LEFT(B11&amp;"",1)="#",IF(ISNUMBER(C11),AND(ISNUMBER(B11),ABS(C11-B11)&lt;=0.000001*MAX(1,ABS(B11))),EXACT(C11&amp;"",B11&amp;"")))</f>
      </c>
      <c r="E11">
        <f>ISERROR(C11)</f>
      </c>
    </row>
    <row r="12">
      <c r="A12" t="str">
        <v>D12</v>
      </c>
      <c r="B12">
        <v>86.53</v>
      </c>
      <c r="C12">
        <f>'hoiquy'!D12</f>
      </c>
      <c r="D12">
        <f>IF(ISERROR(C12),LEFT(B12&amp;"",1)="#",IF(ISNUMBER(C12),AND(ISNUMBER(B12),ABS(C12-B12)&lt;=0.000001*MAX(1,ABS(B12))),EXACT(C12&amp;"",B12&amp;"")))</f>
      </c>
      <c r="E12">
        <f>ISERROR(C12)</f>
      </c>
    </row>
    <row r="13">
      <c r="A13" t="str">
        <v>D13</v>
      </c>
      <c r="B13">
        <v>93.69</v>
      </c>
      <c r="C13">
        <f>'hoiquy'!D13</f>
      </c>
      <c r="D13">
        <f>IF(ISERROR(C13),LEFT(B13&amp;"",1)="#",IF(ISNUMBER(C13),AND(ISNUMBER(B13),ABS(C13-B13)&lt;=0.000001*MAX(1,ABS(B13))),EXACT(C13&amp;"",B13&amp;"")))</f>
      </c>
      <c r="E13">
        <f>ISERROR(C13)</f>
      </c>
    </row>
    <row r="14">
      <c r="A14" t="str">
        <v>E2</v>
      </c>
      <c r="B14">
        <v>0.98</v>
      </c>
      <c r="C14">
        <f>'hoiquy'!E2</f>
      </c>
      <c r="D14">
        <f>IF(ISERROR(C14),LEFT(B14&amp;"",1)="#",IF(ISNUMBER(C14),AND(ISNUMBER(B14),ABS(C14-B14)&lt;=0.000001*MAX(1,ABS(B14))),EXACT(C14&amp;"",B14&amp;"")))</f>
      </c>
      <c r="E14">
        <f>ISERROR(C14)</f>
      </c>
    </row>
    <row r="15">
      <c r="A15" t="str">
        <v>E3</v>
      </c>
      <c r="B15">
        <v>-1.78</v>
      </c>
      <c r="C15">
        <f>'hoiquy'!E3</f>
      </c>
      <c r="D15">
        <f>IF(ISERROR(C15),LEFT(B15&amp;"",1)="#",IF(ISNUMBER(C15),AND(ISNUMBER(B15),ABS(C15-B15)&lt;=0.000001*MAX(1,ABS(B15))),EXACT(C15&amp;"",B15&amp;"")))</f>
      </c>
      <c r="E15">
        <f>ISERROR(C15)</f>
      </c>
    </row>
    <row r="16">
      <c r="A16" t="str">
        <v>E4</v>
      </c>
      <c r="B16">
        <v>-1.14</v>
      </c>
      <c r="C16">
        <f>'hoiquy'!E4</f>
      </c>
      <c r="D16">
        <f>IF(ISERROR(C16),LEFT(B16&amp;"",1)="#",IF(ISNUMBER(C16),AND(ISNUMBER(B16),ABS(C16-B16)&lt;=0.000001*MAX(1,ABS(B16))),EXACT(C16&amp;"",B16&amp;"")))</f>
      </c>
      <c r="E16">
        <f>ISERROR(C16)</f>
      </c>
    </row>
    <row r="17">
      <c r="A17" t="str">
        <v>E5</v>
      </c>
      <c r="B17">
        <v>2.89</v>
      </c>
      <c r="C17">
        <f>'hoiquy'!E5</f>
      </c>
      <c r="D17">
        <f>IF(ISERROR(C17),LEFT(B17&amp;"",1)="#",IF(ISNUMBER(C17),AND(ISNUMBER(B17),ABS(C17-B17)&lt;=0.000001*MAX(1,ABS(B17))),EXACT(C17&amp;"",B17&amp;"")))</f>
      </c>
      <c r="E17">
        <f>ISERROR(C17)</f>
      </c>
    </row>
    <row r="18">
      <c r="A18" t="str">
        <v>E6</v>
      </c>
      <c r="B18">
        <v>-2.57</v>
      </c>
      <c r="C18">
        <f>'hoiquy'!E6</f>
      </c>
      <c r="D18">
        <f>IF(ISERROR(C18),LEFT(B18&amp;"",1)="#",IF(ISNUMBER(C18),AND(ISNUMBER(B18),ABS(C18-B18)&lt;=0.000001*MAX(1,ABS(B18))),EXACT(C18&amp;"",B18&amp;"")))</f>
      </c>
      <c r="E18">
        <f>ISERROR(C18)</f>
      </c>
    </row>
    <row r="19">
      <c r="A19" t="str">
        <v>E7</v>
      </c>
      <c r="B19">
        <v>2.57</v>
      </c>
      <c r="C19">
        <f>'hoiquy'!E7</f>
      </c>
      <c r="D19">
        <f>IF(ISERROR(C19),LEFT(B19&amp;"",1)="#",IF(ISNUMBER(C19),AND(ISNUMBER(B19),ABS(C19-B19)&lt;=0.000001*MAX(1,ABS(B19))),EXACT(C19&amp;"",B19&amp;"")))</f>
      </c>
      <c r="E19">
        <f>ISERROR(C19)</f>
      </c>
    </row>
    <row r="20">
      <c r="A20" t="str">
        <v>E8</v>
      </c>
      <c r="B20">
        <v>-1.09</v>
      </c>
      <c r="C20">
        <f>'hoiquy'!E8</f>
      </c>
      <c r="D20">
        <f>IF(ISERROR(C20),LEFT(B20&amp;"",1)="#",IF(ISNUMBER(C20),AND(ISNUMBER(B20),ABS(C20-B20)&lt;=0.000001*MAX(1,ABS(B20))),EXACT(C20&amp;"",B20&amp;"")))</f>
      </c>
      <c r="E20">
        <f>ISERROR(C20)</f>
      </c>
    </row>
    <row r="21">
      <c r="A21" t="str">
        <v>E9</v>
      </c>
      <c r="B21">
        <v>1.25</v>
      </c>
      <c r="C21">
        <f>'hoiquy'!E9</f>
      </c>
      <c r="D21">
        <f>IF(ISERROR(C21),LEFT(B21&amp;"",1)="#",IF(ISNUMBER(C21),AND(ISNUMBER(B21),ABS(C21-B21)&lt;=0.000001*MAX(1,ABS(B21))),EXACT(C21&amp;"",B21&amp;"")))</f>
      </c>
      <c r="E21">
        <f>ISERROR(C21)</f>
      </c>
    </row>
    <row r="22">
      <c r="A22" t="str">
        <v>E10</v>
      </c>
      <c r="B22">
        <v>0.59</v>
      </c>
      <c r="C22">
        <f>'hoiquy'!E10</f>
      </c>
      <c r="D22">
        <f>IF(ISERROR(C22),LEFT(B22&amp;"",1)="#",IF(ISNUMBER(C22),AND(ISNUMBER(B22),ABS(C22-B22)&lt;=0.000001*MAX(1,ABS(B22))),EXACT(C22&amp;"",B22&amp;"")))</f>
      </c>
      <c r="E22">
        <f>ISERROR(C22)</f>
      </c>
    </row>
    <row r="23">
      <c r="A23" t="str">
        <v>E11</v>
      </c>
      <c r="B23">
        <v>-1.57</v>
      </c>
      <c r="C23">
        <f>'hoiquy'!E11</f>
      </c>
      <c r="D23">
        <f>IF(ISERROR(C23),LEFT(B23&amp;"",1)="#",IF(ISNUMBER(C23),AND(ISNUMBER(B23),ABS(C23-B23)&lt;=0.000001*MAX(1,ABS(B23))),EXACT(C23&amp;"",B23&amp;"")))</f>
      </c>
      <c r="E23">
        <f>ISERROR(C23)</f>
      </c>
    </row>
    <row r="24">
      <c r="A24" t="str">
        <v>E12</v>
      </c>
      <c r="B24">
        <v>-1.43</v>
      </c>
      <c r="C24">
        <f>'hoiquy'!E12</f>
      </c>
      <c r="D24">
        <f>IF(ISERROR(C24),LEFT(B24&amp;"",1)="#",IF(ISNUMBER(C24),AND(ISNUMBER(B24),ABS(C24-B24)&lt;=0.000001*MAX(1,ABS(B24))),EXACT(C24&amp;"",B24&amp;"")))</f>
      </c>
      <c r="E24">
        <f>ISERROR(C24)</f>
      </c>
    </row>
    <row r="25">
      <c r="A25" t="str">
        <v>E13</v>
      </c>
      <c r="B25">
        <v>1.31</v>
      </c>
      <c r="C25">
        <f>'hoiquy'!E13</f>
      </c>
      <c r="D25">
        <f>IF(ISERROR(C25),LEFT(B25&amp;"",1)="#",IF(ISNUMBER(C25),AND(ISNUMBER(B25),ABS(C25-B25)&lt;=0.000001*MAX(1,ABS(B25))),EXACT(C25&amp;"",B25&amp;"")))</f>
      </c>
      <c r="E25">
        <f>ISERROR(C25)</f>
      </c>
    </row>
    <row r="26">
      <c r="A26" t="str">
        <v>Z2</v>
      </c>
      <c r="B26">
        <v>7.1612</v>
      </c>
      <c r="C26">
        <f>'hoiquy'!Z2</f>
      </c>
      <c r="D26">
        <f>IF(ISERROR(C26),LEFT(B26&amp;"",1)="#",IF(ISNUMBER(C26),AND(ISNUMBER(B26),ABS(C26-B26)&lt;=0.000001*MAX(1,ABS(B26))),EXACT(C26&amp;"",B26&amp;"")))</f>
      </c>
      <c r="E26">
        <f>ISERROR(C26)</f>
      </c>
    </row>
    <row r="27">
      <c r="A27" t="str">
        <v>Z3</v>
      </c>
      <c r="B27">
        <v>7.7606</v>
      </c>
      <c r="C27">
        <f>'hoiquy'!Z3</f>
      </c>
      <c r="D27">
        <f>IF(ISERROR(C27),LEFT(B27&amp;"",1)="#",IF(ISNUMBER(C27),AND(ISNUMBER(B27),ABS(C27-B27)&lt;=0.000001*MAX(1,ABS(B27))),EXACT(C27&amp;"",B27&amp;"")))</f>
      </c>
      <c r="E27">
        <f>ISERROR(C27)</f>
      </c>
    </row>
    <row r="28">
      <c r="A28" t="str">
        <v>Z4</v>
      </c>
      <c r="B28">
        <v>0.9975</v>
      </c>
      <c r="C28">
        <f>'hoiquy'!Z4</f>
      </c>
      <c r="D28">
        <f>IF(ISERROR(C28),LEFT(B28&amp;"",1)="#",IF(ISNUMBER(C28),AND(ISNUMBER(B28),ABS(C28-B28)&lt;=0.000001*MAX(1,ABS(B28))),EXACT(C28&amp;"",B28&amp;"")))</f>
      </c>
      <c r="E28">
        <f>ISERROR(C28)</f>
      </c>
    </row>
    <row r="29">
      <c r="A29" t="str">
        <v>Z5</v>
      </c>
      <c r="B29">
        <v>54.31</v>
      </c>
      <c r="C29">
        <f>'hoiquy'!Z5</f>
      </c>
      <c r="D29">
        <f>IF(ISERROR(C29),LEFT(B29&amp;"",1)="#",IF(ISNUMBER(C29),AND(ISNUMBER(B29),ABS(C29-B29)&lt;=0.000001*MAX(1,ABS(B29))),EXACT(C29&amp;"",B29&amp;"")))</f>
      </c>
      <c r="E29">
        <f>ISERROR(C29)</f>
      </c>
    </row>
    <row r="30">
      <c r="A30" t="str">
        <v>Z6</v>
      </c>
      <c r="B30">
        <v>25.88</v>
      </c>
      <c r="C30">
        <f>'hoiquy'!Z6</f>
      </c>
      <c r="D30">
        <f>IF(ISERROR(C30),LEFT(B30&amp;"",1)="#",IF(ISNUMBER(C30),AND(ISNUMBER(B30),ABS(C30-B30)&lt;=0.000001*MAX(1,ABS(B30))),EXACT(C30&amp;"",B30&amp;"")))</f>
      </c>
      <c r="E30">
        <f>ISERROR(C30)</f>
      </c>
    </row>
    <row r="31">
      <c r="A31" t="str">
        <v>Z7</v>
      </c>
      <c r="B31">
        <v>95</v>
      </c>
      <c r="C31">
        <f>'hoiquy'!Z7</f>
      </c>
      <c r="D31">
        <f>IF(ISERROR(C31),LEFT(B31&amp;"",1)="#",IF(ISNUMBER(C31),AND(ISNUMBER(B31),ABS(C31-B31)&lt;=0.000001*MAX(1,ABS(B31))),EXACT(C31&amp;"",B31&amp;"")))</f>
      </c>
      <c r="E31">
        <f>ISERROR(C31)</f>
      </c>
    </row>
    <row r="32">
      <c r="A32" t="str">
        <v>Z8</v>
      </c>
      <c r="B32" t="str">
        <v>12</v>
      </c>
      <c r="C32">
        <f>'hoiquy'!Z8</f>
      </c>
      <c r="D32">
        <f>IF(ISERROR(C32),LEFT(B32&amp;"",1)="#",IF(ISNUMBER(C32),AND(ISNUMBER(B32),ABS(C32-B32)&lt;=0.000001*MAX(1,ABS(B32))),EXACT(C32&amp;"",B32&amp;"")))</f>
      </c>
      <c r="E32">
        <f>ISERROR(C32)</f>
      </c>
    </row>
    <row r="33">
      <c r="A33" t="str">
        <v>Z9</v>
      </c>
      <c r="B33">
        <v>5260.099999999999</v>
      </c>
      <c r="C33">
        <f>'hoiquy'!Z9</f>
      </c>
      <c r="D33">
        <f>IF(ISERROR(C33),LEFT(B33&amp;"",1)="#",IF(ISNUMBER(C33),AND(ISNUMBER(B33),ABS(C33-B33)&lt;=0.000001*MAX(1,ABS(B33))),EXACT(C33&amp;"",B33&amp;"")))</f>
      </c>
      <c r="E33">
        <f>ISERROR(C33)</f>
      </c>
    </row>
    <row r="34">
      <c r="A34" t="str">
        <v>Z10</v>
      </c>
      <c r="B34">
        <v>19.17</v>
      </c>
      <c r="C34">
        <f>'hoiquy'!Z10</f>
      </c>
      <c r="D34">
        <f>IF(ISERROR(C34),LEFT(B34&amp;"",1)="#",IF(ISNUMBER(C34),AND(ISNUMBER(B34),ABS(C34-B34)&lt;=0.000001*MAX(1,ABS(B34))),EXACT(C34&amp;"",B34&amp;"")))</f>
      </c>
      <c r="E34">
        <f>ISERROR(C34)</f>
      </c>
    </row>
  </sheetData>
  <ignoredErrors>
    <ignoredError numberStoredAsText="1" sqref="A1:E34"/>
  </ignoredErrors>
</worksheet>
</file>

<file path=xl/worksheets/sheet8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MaCK</v>
      </c>
      <c r="B1" t="str">
        <v>LoaiCK</v>
      </c>
      <c r="C1" t="str">
        <v>Dai</v>
      </c>
      <c r="D1" t="str">
        <v>Rong</v>
      </c>
      <c r="E1" t="str">
        <v>Cao</v>
      </c>
      <c r="F1" t="str">
        <v>SoLuong</v>
      </c>
      <c r="G1" t="str">
        <v>TheTich</v>
      </c>
      <c r="H1" t="str">
        <v>TongBT</v>
      </c>
      <c r="I1" t="str">
        <v>HamLuong</v>
      </c>
      <c r="J1" t="str">
        <v>ThepKg</v>
      </c>
      <c r="K1" t="str">
        <v>KhoiBT</v>
      </c>
      <c r="R1" t="str">
        <v>LoaiCK</v>
      </c>
      <c r="S1" t="str">
        <v>ThepKgM3</v>
      </c>
      <c r="W1" t="str">
        <v>LoaiCK</v>
      </c>
      <c r="Y1" t="str">
        <v>TongHop</v>
      </c>
      <c r="Z1" t="str">
        <v>KetQua</v>
      </c>
    </row>
    <row r="2">
      <c r="A2" t="str">
        <v>CK01</v>
      </c>
      <c r="B2" t="str">
        <v>COT</v>
      </c>
      <c r="C2">
        <v>7.4</v>
      </c>
      <c r="D2">
        <v>0.4</v>
      </c>
      <c r="E2">
        <v>0.3</v>
      </c>
      <c r="F2">
        <v>2</v>
      </c>
      <c r="G2">
        <f>ROUND(C2*D2*E2,3)</f>
        <v>0.888</v>
      </c>
      <c r="H2">
        <f>ROUND(C2*D2*E2*F2,2)</f>
        <v>1.78</v>
      </c>
      <c r="I2">
        <f>VLOOKUP(B2,$R$2:$S$5,2,FALSE)</f>
        <v>120</v>
      </c>
      <c r="J2">
        <f>ROUND(C2*D2*E2*F2*I2,0)</f>
        <v>213</v>
      </c>
      <c r="K2">
        <f>ROUND(H2*2.5,2)</f>
        <v>4.45</v>
      </c>
      <c r="R2" t="str">
        <v>COT</v>
      </c>
      <c r="S2">
        <v>120</v>
      </c>
      <c r="W2" t="str">
        <v>DAM</v>
      </c>
      <c r="Y2" t="str">
        <v>Ma MaCK co ThepKg lon nhat</v>
      </c>
      <c r="Z2" t="str">
        <f>INDEX(A2:A13,MATCH(MAX(J2:J13),J2:J13,0))</f>
        <v>CK08</v>
      </c>
    </row>
    <row r="3">
      <c r="A3" t="str">
        <v>CK02</v>
      </c>
      <c r="B3" t="str">
        <v>DAM</v>
      </c>
      <c r="C3">
        <v>3.4</v>
      </c>
      <c r="D3">
        <v>0.6</v>
      </c>
      <c r="E3">
        <v>0.1</v>
      </c>
      <c r="F3">
        <v>18</v>
      </c>
      <c r="G3">
        <f>ROUND(C3*D3*E3,3)</f>
        <v>0.204</v>
      </c>
      <c r="H3">
        <f>ROUND(C3*D3*E3*F3,2)</f>
        <v>3.67</v>
      </c>
      <c r="I3">
        <f>VLOOKUP(B3,$R$2:$S$5,2,FALSE)</f>
        <v>100</v>
      </c>
      <c r="J3">
        <f>ROUND(C3*D3*E3*F3*I3,0)</f>
        <v>367</v>
      </c>
      <c r="K3">
        <f>ROUND(H3*2.5,2)</f>
        <v>9.18</v>
      </c>
      <c r="R3" t="str">
        <v>DAM</v>
      </c>
      <c r="S3">
        <v>100</v>
      </c>
      <c r="Y3" t="str">
        <v>Tong ThepKg khi LoaiCK = DAM</v>
      </c>
      <c r="Z3">
        <f>SUMIF(B2:B13,"DAM",J2:J13)</f>
        <v>1190</v>
      </c>
    </row>
    <row r="4">
      <c r="A4" t="str">
        <v>CK03</v>
      </c>
      <c r="B4" t="str">
        <v>SAN</v>
      </c>
      <c r="C4">
        <v>4.4</v>
      </c>
      <c r="D4">
        <v>0.5</v>
      </c>
      <c r="E4">
        <v>0.5</v>
      </c>
      <c r="F4">
        <v>7</v>
      </c>
      <c r="G4">
        <f>ROUND(C4*D4*E4,3)</f>
        <v>1.1</v>
      </c>
      <c r="H4">
        <f>ROUND(C4*D4*E4*F4,2)</f>
        <v>7.7</v>
      </c>
      <c r="I4">
        <f>VLOOKUP(B4,$R$2:$S$5,2,FALSE)</f>
        <v>80</v>
      </c>
      <c r="J4">
        <f>ROUND(C4*D4*E4*F4*I4,0)</f>
        <v>616</v>
      </c>
      <c r="K4">
        <f>ROUND(H4*2.5,2)</f>
        <v>19.25</v>
      </c>
      <c r="R4" t="str">
        <v>SAN</v>
      </c>
      <c r="S4">
        <v>80</v>
      </c>
      <c r="Y4" t="str">
        <v>So dong LoaiCK = COT, SoLuong &gt;=10</v>
      </c>
      <c r="Z4">
        <f>COUNTIFS(B2:B13,"COT",F2:F13,"&gt;=10")</f>
        <v>2</v>
      </c>
    </row>
    <row r="5">
      <c r="A5" t="str">
        <v>CK04</v>
      </c>
      <c r="B5" t="str">
        <v>MONG</v>
      </c>
      <c r="C5">
        <v>4.8</v>
      </c>
      <c r="D5">
        <v>0.6</v>
      </c>
      <c r="E5">
        <v>0.5</v>
      </c>
      <c r="F5">
        <v>17</v>
      </c>
      <c r="G5">
        <f>ROUND(C5*D5*E5,3)</f>
        <v>1.44</v>
      </c>
      <c r="H5">
        <f>ROUND(C5*D5*E5*F5,2)</f>
        <v>24.48</v>
      </c>
      <c r="I5">
        <f>VLOOKUP(B5,$R$2:$S$5,2,FALSE)</f>
        <v>60</v>
      </c>
      <c r="J5">
        <f>ROUND(C5*D5*E5*F5*I5,0)</f>
        <v>1469</v>
      </c>
      <c r="K5">
        <f>ROUND(H5*2.5,2)</f>
        <v>61.2</v>
      </c>
      <c r="R5" t="str">
        <v>MONG</v>
      </c>
      <c r="S5">
        <v>60</v>
      </c>
      <c r="Y5" t="str">
        <v>TongBT trung binh khi LoaiCK = SAN</v>
      </c>
      <c r="Z5">
        <f>AVERAGEIF(B2:B13,"SAN",H2:H13)</f>
        <v>88.87</v>
      </c>
    </row>
    <row r="6">
      <c r="A6" t="str">
        <v>CK05</v>
      </c>
      <c r="B6" t="str">
        <v>COT</v>
      </c>
      <c r="C6">
        <v>8.3</v>
      </c>
      <c r="D6">
        <v>0.6</v>
      </c>
      <c r="E6">
        <v>0.2</v>
      </c>
      <c r="F6">
        <v>19</v>
      </c>
      <c r="G6">
        <f>ROUND(C6*D6*E6,3)</f>
        <v>0.996</v>
      </c>
      <c r="H6">
        <f>ROUND(C6*D6*E6*F6,2)</f>
        <v>18.92</v>
      </c>
      <c r="I6">
        <f>VLOOKUP(B6,$R$2:$S$5,2,FALSE)</f>
        <v>120</v>
      </c>
      <c r="J6">
        <f>ROUND(C6*D6*E6*F6*I6,0)</f>
        <v>2271</v>
      </c>
      <c r="K6">
        <f>ROUND(H6*2.5,2)</f>
        <v>47.3</v>
      </c>
      <c r="Y6" t="str">
        <v>ThepKg lon nhat khi LoaiCK = MONG</v>
      </c>
      <c r="Z6">
        <f>_xlfn.MAXIFS(J2:J13,B2:B13,"MONG")</f>
        <v>1469</v>
      </c>
    </row>
    <row r="7">
      <c r="A7" t="str">
        <v>CK06</v>
      </c>
      <c r="B7" t="str">
        <v>MONG</v>
      </c>
      <c r="C7">
        <v>3.7</v>
      </c>
      <c r="D7">
        <v>0.4</v>
      </c>
      <c r="E7">
        <v>0.2</v>
      </c>
      <c r="F7">
        <v>12</v>
      </c>
      <c r="G7">
        <f>ROUND(C7*D7*E7,3)</f>
        <v>0.296</v>
      </c>
      <c r="H7">
        <f>ROUND(C7*D7*E7*F7,2)</f>
        <v>3.55</v>
      </c>
      <c r="I7">
        <f>VLOOKUP(B7,$R$2:$S$5,2,FALSE)</f>
        <v>60</v>
      </c>
      <c r="J7">
        <f>ROUND(C7*D7*E7*F7*I7,0)</f>
        <v>213</v>
      </c>
      <c r="K7">
        <f>ROUND(H7*2.5,2)</f>
        <v>8.88</v>
      </c>
      <c r="Y7" t="str">
        <v>TongBT trung vi</v>
      </c>
      <c r="Z7">
        <f>MEDIAN(H2:H13)</f>
        <v>9.465</v>
      </c>
    </row>
    <row r="8">
      <c r="A8" t="str">
        <v>CK07</v>
      </c>
      <c r="B8" t="str">
        <v>COT</v>
      </c>
      <c r="C8">
        <v>3.7</v>
      </c>
      <c r="D8">
        <v>0.4</v>
      </c>
      <c r="E8">
        <v>3</v>
      </c>
      <c r="F8">
        <v>20</v>
      </c>
      <c r="G8">
        <f>ROUND(C8*D8*E8,3)</f>
        <v>4.44</v>
      </c>
      <c r="H8">
        <f>ROUND(C8*D8*E8*F8,2)</f>
        <v>88.8</v>
      </c>
      <c r="I8">
        <f>VLOOKUP(B8,$R$2:$S$5,2,FALSE)</f>
        <v>120</v>
      </c>
      <c r="J8">
        <f>ROUND(C8*D8*E8*F8*I8,0)</f>
        <v>10656</v>
      </c>
      <c r="K8">
        <f>ROUND(H8*2.5,2)</f>
        <v>222</v>
      </c>
      <c r="Y8" t="str">
        <v>TongBT lon thu hai</v>
      </c>
      <c r="Z8">
        <f>LARGE(H2:H13,2)</f>
        <v>88.8</v>
      </c>
    </row>
    <row r="9">
      <c r="A9" t="str">
        <v>CK08</v>
      </c>
      <c r="B9" t="str">
        <v>SAN</v>
      </c>
      <c r="C9">
        <v>8.6</v>
      </c>
      <c r="D9">
        <v>0.6</v>
      </c>
      <c r="E9">
        <v>3</v>
      </c>
      <c r="F9">
        <v>16</v>
      </c>
      <c r="G9">
        <f>ROUND(C9*D9*E9,3)</f>
        <v>15.48</v>
      </c>
      <c r="H9">
        <f>ROUND(C9*D9*E9*F9,2)</f>
        <v>247.68</v>
      </c>
      <c r="I9">
        <f>VLOOKUP(B9,$R$2:$S$5,2,FALSE)</f>
        <v>80</v>
      </c>
      <c r="J9">
        <f>ROUND(C9*D9*E9*F9*I9,0)</f>
        <v>19814</v>
      </c>
      <c r="K9">
        <f>ROUND(H9*2.5,2)</f>
        <v>619.2</v>
      </c>
      <c r="Y9" t="str">
        <v>Do lech chuan TongBT</v>
      </c>
      <c r="Z9">
        <f>ROUND(STDEV(H2:H13),2)</f>
        <v>70.53</v>
      </c>
    </row>
    <row r="10">
      <c r="A10" t="str">
        <v>CK09</v>
      </c>
      <c r="B10" t="str">
        <v>DAM</v>
      </c>
      <c r="C10">
        <v>9.3</v>
      </c>
      <c r="D10">
        <v>0.3</v>
      </c>
      <c r="E10">
        <v>0.2</v>
      </c>
      <c r="F10">
        <v>7</v>
      </c>
      <c r="G10">
        <f>ROUND(C10*D10*E10,3)</f>
        <v>0.558</v>
      </c>
      <c r="H10">
        <f>ROUND(C10*D10*E10*F10,2)</f>
        <v>3.91</v>
      </c>
      <c r="I10">
        <f>VLOOKUP(B10,$R$2:$S$5,2,FALSE)</f>
        <v>100</v>
      </c>
      <c r="J10">
        <f>ROUND(C10*D10*E10*F10*I10,0)</f>
        <v>391</v>
      </c>
      <c r="K10">
        <f>ROUND(H10*2.5,2)</f>
        <v>9.78</v>
      </c>
      <c r="Y10" t="str">
        <v>Tong ThepKg theo tieu chi W1:W2</v>
      </c>
      <c r="Z10">
        <f>DSUM(A1:K13,"ThepKg",W1:W2)</f>
        <v>1190</v>
      </c>
    </row>
    <row r="11">
      <c r="A11" t="str">
        <v>CK10</v>
      </c>
      <c r="B11" t="str">
        <v>COT</v>
      </c>
      <c r="C11">
        <v>7</v>
      </c>
      <c r="D11">
        <v>0.2</v>
      </c>
      <c r="E11">
        <v>3</v>
      </c>
      <c r="F11">
        <v>8</v>
      </c>
      <c r="G11">
        <f>ROUND(C11*D11*E11,3)</f>
        <v>4.2</v>
      </c>
      <c r="H11">
        <f>ROUND(C11*D11*E11*F11,2)</f>
        <v>33.6</v>
      </c>
      <c r="I11">
        <f>VLOOKUP(B11,$R$2:$S$5,2,FALSE)</f>
        <v>120</v>
      </c>
      <c r="J11">
        <f>ROUND(C11*D11*E11*F11*I11,0)</f>
        <v>4032</v>
      </c>
      <c r="K11">
        <f>ROUND(H11*2.5,2)</f>
        <v>84</v>
      </c>
      <c r="Y11" t="str">
        <v>So dong theo tieu chi W1:W2</v>
      </c>
      <c r="Z11">
        <f>DCOUNT(A1:K13,"ThepKg",W1:W2)</f>
        <v>3</v>
      </c>
    </row>
    <row r="12">
      <c r="A12" t="str">
        <v>CK11</v>
      </c>
      <c r="B12" t="str">
        <v>DAM</v>
      </c>
      <c r="C12">
        <v>4.8</v>
      </c>
      <c r="D12">
        <v>0.2</v>
      </c>
      <c r="E12">
        <v>0.3</v>
      </c>
      <c r="F12">
        <v>15</v>
      </c>
      <c r="G12">
        <f>ROUND(C12*D12*E12,3)</f>
        <v>0.288</v>
      </c>
      <c r="H12">
        <f>ROUND(C12*D12*E12*F12,2)</f>
        <v>4.32</v>
      </c>
      <c r="I12">
        <f>VLOOKUP(B12,$R$2:$S$5,2,FALSE)</f>
        <v>100</v>
      </c>
      <c r="J12">
        <f>ROUND(C12*D12*E12*F12*I12,0)</f>
        <v>432</v>
      </c>
      <c r="K12">
        <f>ROUND(H12*2.5,2)</f>
        <v>10.8</v>
      </c>
      <c r="Y12" t="str">
        <v>Tong ThepKg khi LoaiCK = DAM (SUMPRODUCT)</v>
      </c>
      <c r="Z12">
        <f>SUMPRODUCT((B2:B13="DAM")*J2:J13)</f>
        <v>1190</v>
      </c>
    </row>
    <row r="13">
      <c r="A13" t="str">
        <v>CK12</v>
      </c>
      <c r="B13" t="str">
        <v>SAN</v>
      </c>
      <c r="C13">
        <v>4.8</v>
      </c>
      <c r="D13">
        <v>0.6</v>
      </c>
      <c r="E13">
        <v>0.3</v>
      </c>
      <c r="F13">
        <v>13</v>
      </c>
      <c r="G13">
        <f>ROUND(C13*D13*E13,3)</f>
        <v>0.864</v>
      </c>
      <c r="H13">
        <f>ROUND(C13*D13*E13*F13,2)</f>
        <v>11.23</v>
      </c>
      <c r="I13">
        <f>VLOOKUP(B13,$R$2:$S$5,2,FALSE)</f>
        <v>80</v>
      </c>
      <c r="J13">
        <f>ROUND(C13*D13*E13*F13*I13,0)</f>
        <v>899</v>
      </c>
      <c r="K13">
        <f>ROUND(H13*2.5,2)</f>
        <v>28.08</v>
      </c>
      <c r="Y13" t="str">
        <v>Tong SoLuong x Cao</v>
      </c>
      <c r="Z13">
        <f>SUMPRODUCT(F2:F13,E2:E13)</f>
        <v>162.4</v>
      </c>
    </row>
  </sheetData>
  <ignoredErrors>
    <ignoredError numberStoredAsText="1" sqref="A1:Z13"/>
  </ignoredErrors>
</worksheet>
</file>

<file path=xl/worksheets/sheet87.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v>0.888</v>
      </c>
      <c r="C2">
        <f>'xaydung'!G2</f>
      </c>
      <c r="D2">
        <f>IF(ISERROR(C2),LEFT(B2&amp;"",1)="#",IF(ISNUMBER(C2),AND(ISNUMBER(B2),ABS(C2-B2)&lt;=0.000001*MAX(1,ABS(B2))),EXACT(C2&amp;"",B2&amp;"")))</f>
      </c>
      <c r="E2">
        <f>ISERROR(C2)</f>
      </c>
    </row>
    <row r="3">
      <c r="A3" t="str">
        <v>G3</v>
      </c>
      <c r="B3">
        <v>0.204</v>
      </c>
      <c r="C3">
        <f>'xaydung'!G3</f>
      </c>
      <c r="D3">
        <f>IF(ISERROR(C3),LEFT(B3&amp;"",1)="#",IF(ISNUMBER(C3),AND(ISNUMBER(B3),ABS(C3-B3)&lt;=0.000001*MAX(1,ABS(B3))),EXACT(C3&amp;"",B3&amp;"")))</f>
      </c>
      <c r="E3">
        <f>ISERROR(C3)</f>
      </c>
    </row>
    <row r="4">
      <c r="A4" t="str">
        <v>G4</v>
      </c>
      <c r="B4">
        <v>1.1</v>
      </c>
      <c r="C4">
        <f>'xaydung'!G4</f>
      </c>
      <c r="D4">
        <f>IF(ISERROR(C4),LEFT(B4&amp;"",1)="#",IF(ISNUMBER(C4),AND(ISNUMBER(B4),ABS(C4-B4)&lt;=0.000001*MAX(1,ABS(B4))),EXACT(C4&amp;"",B4&amp;"")))</f>
      </c>
      <c r="E4">
        <f>ISERROR(C4)</f>
      </c>
    </row>
    <row r="5">
      <c r="A5" t="str">
        <v>G5</v>
      </c>
      <c r="B5">
        <v>1.44</v>
      </c>
      <c r="C5">
        <f>'xaydung'!G5</f>
      </c>
      <c r="D5">
        <f>IF(ISERROR(C5),LEFT(B5&amp;"",1)="#",IF(ISNUMBER(C5),AND(ISNUMBER(B5),ABS(C5-B5)&lt;=0.000001*MAX(1,ABS(B5))),EXACT(C5&amp;"",B5&amp;"")))</f>
      </c>
      <c r="E5">
        <f>ISERROR(C5)</f>
      </c>
    </row>
    <row r="6">
      <c r="A6" t="str">
        <v>G6</v>
      </c>
      <c r="B6">
        <v>0.996</v>
      </c>
      <c r="C6">
        <f>'xaydung'!G6</f>
      </c>
      <c r="D6">
        <f>IF(ISERROR(C6),LEFT(B6&amp;"",1)="#",IF(ISNUMBER(C6),AND(ISNUMBER(B6),ABS(C6-B6)&lt;=0.000001*MAX(1,ABS(B6))),EXACT(C6&amp;"",B6&amp;"")))</f>
      </c>
      <c r="E6">
        <f>ISERROR(C6)</f>
      </c>
    </row>
    <row r="7">
      <c r="A7" t="str">
        <v>G7</v>
      </c>
      <c r="B7">
        <v>0.296</v>
      </c>
      <c r="C7">
        <f>'xaydung'!G7</f>
      </c>
      <c r="D7">
        <f>IF(ISERROR(C7),LEFT(B7&amp;"",1)="#",IF(ISNUMBER(C7),AND(ISNUMBER(B7),ABS(C7-B7)&lt;=0.000001*MAX(1,ABS(B7))),EXACT(C7&amp;"",B7&amp;"")))</f>
      </c>
      <c r="E7">
        <f>ISERROR(C7)</f>
      </c>
    </row>
    <row r="8">
      <c r="A8" t="str">
        <v>G8</v>
      </c>
      <c r="B8">
        <v>4.44</v>
      </c>
      <c r="C8">
        <f>'xaydung'!G8</f>
      </c>
      <c r="D8">
        <f>IF(ISERROR(C8),LEFT(B8&amp;"",1)="#",IF(ISNUMBER(C8),AND(ISNUMBER(B8),ABS(C8-B8)&lt;=0.000001*MAX(1,ABS(B8))),EXACT(C8&amp;"",B8&amp;"")))</f>
      </c>
      <c r="E8">
        <f>ISERROR(C8)</f>
      </c>
    </row>
    <row r="9">
      <c r="A9" t="str">
        <v>G9</v>
      </c>
      <c r="B9">
        <v>15.48</v>
      </c>
      <c r="C9">
        <f>'xaydung'!G9</f>
      </c>
      <c r="D9">
        <f>IF(ISERROR(C9),LEFT(B9&amp;"",1)="#",IF(ISNUMBER(C9),AND(ISNUMBER(B9),ABS(C9-B9)&lt;=0.000001*MAX(1,ABS(B9))),EXACT(C9&amp;"",B9&amp;"")))</f>
      </c>
      <c r="E9">
        <f>ISERROR(C9)</f>
      </c>
    </row>
    <row r="10">
      <c r="A10" t="str">
        <v>G10</v>
      </c>
      <c r="B10">
        <v>0.558</v>
      </c>
      <c r="C10">
        <f>'xaydung'!G10</f>
      </c>
      <c r="D10">
        <f>IF(ISERROR(C10),LEFT(B10&amp;"",1)="#",IF(ISNUMBER(C10),AND(ISNUMBER(B10),ABS(C10-B10)&lt;=0.000001*MAX(1,ABS(B10))),EXACT(C10&amp;"",B10&amp;"")))</f>
      </c>
      <c r="E10">
        <f>ISERROR(C10)</f>
      </c>
    </row>
    <row r="11">
      <c r="A11" t="str">
        <v>G11</v>
      </c>
      <c r="B11">
        <v>4.2</v>
      </c>
      <c r="C11">
        <f>'xaydung'!G11</f>
      </c>
      <c r="D11">
        <f>IF(ISERROR(C11),LEFT(B11&amp;"",1)="#",IF(ISNUMBER(C11),AND(ISNUMBER(B11),ABS(C11-B11)&lt;=0.000001*MAX(1,ABS(B11))),EXACT(C11&amp;"",B11&amp;"")))</f>
      </c>
      <c r="E11">
        <f>ISERROR(C11)</f>
      </c>
    </row>
    <row r="12">
      <c r="A12" t="str">
        <v>G12</v>
      </c>
      <c r="B12">
        <v>0.288</v>
      </c>
      <c r="C12">
        <f>'xaydung'!G12</f>
      </c>
      <c r="D12">
        <f>IF(ISERROR(C12),LEFT(B12&amp;"",1)="#",IF(ISNUMBER(C12),AND(ISNUMBER(B12),ABS(C12-B12)&lt;=0.000001*MAX(1,ABS(B12))),EXACT(C12&amp;"",B12&amp;"")))</f>
      </c>
      <c r="E12">
        <f>ISERROR(C12)</f>
      </c>
    </row>
    <row r="13">
      <c r="A13" t="str">
        <v>G13</v>
      </c>
      <c r="B13">
        <v>0.864</v>
      </c>
      <c r="C13">
        <f>'xaydung'!G13</f>
      </c>
      <c r="D13">
        <f>IF(ISERROR(C13),LEFT(B13&amp;"",1)="#",IF(ISNUMBER(C13),AND(ISNUMBER(B13),ABS(C13-B13)&lt;=0.000001*MAX(1,ABS(B13))),EXACT(C13&amp;"",B13&amp;"")))</f>
      </c>
      <c r="E13">
        <f>ISERROR(C13)</f>
      </c>
    </row>
    <row r="14">
      <c r="A14" t="str">
        <v>H2</v>
      </c>
      <c r="B14">
        <v>1.78</v>
      </c>
      <c r="C14">
        <f>'xaydung'!H2</f>
      </c>
      <c r="D14">
        <f>IF(ISERROR(C14),LEFT(B14&amp;"",1)="#",IF(ISNUMBER(C14),AND(ISNUMBER(B14),ABS(C14-B14)&lt;=0.000001*MAX(1,ABS(B14))),EXACT(C14&amp;"",B14&amp;"")))</f>
      </c>
      <c r="E14">
        <f>ISERROR(C14)</f>
      </c>
    </row>
    <row r="15">
      <c r="A15" t="str">
        <v>H3</v>
      </c>
      <c r="B15">
        <v>3.67</v>
      </c>
      <c r="C15">
        <f>'xaydung'!H3</f>
      </c>
      <c r="D15">
        <f>IF(ISERROR(C15),LEFT(B15&amp;"",1)="#",IF(ISNUMBER(C15),AND(ISNUMBER(B15),ABS(C15-B15)&lt;=0.000001*MAX(1,ABS(B15))),EXACT(C15&amp;"",B15&amp;"")))</f>
      </c>
      <c r="E15">
        <f>ISERROR(C15)</f>
      </c>
    </row>
    <row r="16">
      <c r="A16" t="str">
        <v>H4</v>
      </c>
      <c r="B16">
        <v>7.7</v>
      </c>
      <c r="C16">
        <f>'xaydung'!H4</f>
      </c>
      <c r="D16">
        <f>IF(ISERROR(C16),LEFT(B16&amp;"",1)="#",IF(ISNUMBER(C16),AND(ISNUMBER(B16),ABS(C16-B16)&lt;=0.000001*MAX(1,ABS(B16))),EXACT(C16&amp;"",B16&amp;"")))</f>
      </c>
      <c r="E16">
        <f>ISERROR(C16)</f>
      </c>
    </row>
    <row r="17">
      <c r="A17" t="str">
        <v>H5</v>
      </c>
      <c r="B17">
        <v>24.48</v>
      </c>
      <c r="C17">
        <f>'xaydung'!H5</f>
      </c>
      <c r="D17">
        <f>IF(ISERROR(C17),LEFT(B17&amp;"",1)="#",IF(ISNUMBER(C17),AND(ISNUMBER(B17),ABS(C17-B17)&lt;=0.000001*MAX(1,ABS(B17))),EXACT(C17&amp;"",B17&amp;"")))</f>
      </c>
      <c r="E17">
        <f>ISERROR(C17)</f>
      </c>
    </row>
    <row r="18">
      <c r="A18" t="str">
        <v>H6</v>
      </c>
      <c r="B18">
        <v>18.92</v>
      </c>
      <c r="C18">
        <f>'xaydung'!H6</f>
      </c>
      <c r="D18">
        <f>IF(ISERROR(C18),LEFT(B18&amp;"",1)="#",IF(ISNUMBER(C18),AND(ISNUMBER(B18),ABS(C18-B18)&lt;=0.000001*MAX(1,ABS(B18))),EXACT(C18&amp;"",B18&amp;"")))</f>
      </c>
      <c r="E18">
        <f>ISERROR(C18)</f>
      </c>
    </row>
    <row r="19">
      <c r="A19" t="str">
        <v>H7</v>
      </c>
      <c r="B19">
        <v>3.55</v>
      </c>
      <c r="C19">
        <f>'xaydung'!H7</f>
      </c>
      <c r="D19">
        <f>IF(ISERROR(C19),LEFT(B19&amp;"",1)="#",IF(ISNUMBER(C19),AND(ISNUMBER(B19),ABS(C19-B19)&lt;=0.000001*MAX(1,ABS(B19))),EXACT(C19&amp;"",B19&amp;"")))</f>
      </c>
      <c r="E19">
        <f>ISERROR(C19)</f>
      </c>
    </row>
    <row r="20">
      <c r="A20" t="str">
        <v>H8</v>
      </c>
      <c r="B20">
        <v>88.8</v>
      </c>
      <c r="C20">
        <f>'xaydung'!H8</f>
      </c>
      <c r="D20">
        <f>IF(ISERROR(C20),LEFT(B20&amp;"",1)="#",IF(ISNUMBER(C20),AND(ISNUMBER(B20),ABS(C20-B20)&lt;=0.000001*MAX(1,ABS(B20))),EXACT(C20&amp;"",B20&amp;"")))</f>
      </c>
      <c r="E20">
        <f>ISERROR(C20)</f>
      </c>
    </row>
    <row r="21">
      <c r="A21" t="str">
        <v>H9</v>
      </c>
      <c r="B21">
        <v>247.68</v>
      </c>
      <c r="C21">
        <f>'xaydung'!H9</f>
      </c>
      <c r="D21">
        <f>IF(ISERROR(C21),LEFT(B21&amp;"",1)="#",IF(ISNUMBER(C21),AND(ISNUMBER(B21),ABS(C21-B21)&lt;=0.000001*MAX(1,ABS(B21))),EXACT(C21&amp;"",B21&amp;"")))</f>
      </c>
      <c r="E21">
        <f>ISERROR(C21)</f>
      </c>
    </row>
    <row r="22">
      <c r="A22" t="str">
        <v>H10</v>
      </c>
      <c r="B22">
        <v>3.91</v>
      </c>
      <c r="C22">
        <f>'xaydung'!H10</f>
      </c>
      <c r="D22">
        <f>IF(ISERROR(C22),LEFT(B22&amp;"",1)="#",IF(ISNUMBER(C22),AND(ISNUMBER(B22),ABS(C22-B22)&lt;=0.000001*MAX(1,ABS(B22))),EXACT(C22&amp;"",B22&amp;"")))</f>
      </c>
      <c r="E22">
        <f>ISERROR(C22)</f>
      </c>
    </row>
    <row r="23">
      <c r="A23" t="str">
        <v>H11</v>
      </c>
      <c r="B23">
        <v>33.6</v>
      </c>
      <c r="C23">
        <f>'xaydung'!H11</f>
      </c>
      <c r="D23">
        <f>IF(ISERROR(C23),LEFT(B23&amp;"",1)="#",IF(ISNUMBER(C23),AND(ISNUMBER(B23),ABS(C23-B23)&lt;=0.000001*MAX(1,ABS(B23))),EXACT(C23&amp;"",B23&amp;"")))</f>
      </c>
      <c r="E23">
        <f>ISERROR(C23)</f>
      </c>
    </row>
    <row r="24">
      <c r="A24" t="str">
        <v>H12</v>
      </c>
      <c r="B24">
        <v>4.32</v>
      </c>
      <c r="C24">
        <f>'xaydung'!H12</f>
      </c>
      <c r="D24">
        <f>IF(ISERROR(C24),LEFT(B24&amp;"",1)="#",IF(ISNUMBER(C24),AND(ISNUMBER(B24),ABS(C24-B24)&lt;=0.000001*MAX(1,ABS(B24))),EXACT(C24&amp;"",B24&amp;"")))</f>
      </c>
      <c r="E24">
        <f>ISERROR(C24)</f>
      </c>
    </row>
    <row r="25">
      <c r="A25" t="str">
        <v>H13</v>
      </c>
      <c r="B25">
        <v>11.23</v>
      </c>
      <c r="C25">
        <f>'xaydung'!H13</f>
      </c>
      <c r="D25">
        <f>IF(ISERROR(C25),LEFT(B25&amp;"",1)="#",IF(ISNUMBER(C25),AND(ISNUMBER(B25),ABS(C25-B25)&lt;=0.000001*MAX(1,ABS(B25))),EXACT(C25&amp;"",B25&amp;"")))</f>
      </c>
      <c r="E25">
        <f>ISERROR(C25)</f>
      </c>
    </row>
    <row r="26">
      <c r="A26" t="str">
        <v>I2</v>
      </c>
      <c r="B26">
        <v>120</v>
      </c>
      <c r="C26">
        <f>'xaydung'!I2</f>
      </c>
      <c r="D26">
        <f>IF(ISERROR(C26),LEFT(B26&amp;"",1)="#",IF(ISNUMBER(C26),AND(ISNUMBER(B26),ABS(C26-B26)&lt;=0.000001*MAX(1,ABS(B26))),EXACT(C26&amp;"",B26&amp;"")))</f>
      </c>
      <c r="E26">
        <f>ISERROR(C26)</f>
      </c>
    </row>
    <row r="27">
      <c r="A27" t="str">
        <v>I3</v>
      </c>
      <c r="B27">
        <v>100</v>
      </c>
      <c r="C27">
        <f>'xaydung'!I3</f>
      </c>
      <c r="D27">
        <f>IF(ISERROR(C27),LEFT(B27&amp;"",1)="#",IF(ISNUMBER(C27),AND(ISNUMBER(B27),ABS(C27-B27)&lt;=0.000001*MAX(1,ABS(B27))),EXACT(C27&amp;"",B27&amp;"")))</f>
      </c>
      <c r="E27">
        <f>ISERROR(C27)</f>
      </c>
    </row>
    <row r="28">
      <c r="A28" t="str">
        <v>I4</v>
      </c>
      <c r="B28">
        <v>80</v>
      </c>
      <c r="C28">
        <f>'xaydung'!I4</f>
      </c>
      <c r="D28">
        <f>IF(ISERROR(C28),LEFT(B28&amp;"",1)="#",IF(ISNUMBER(C28),AND(ISNUMBER(B28),ABS(C28-B28)&lt;=0.000001*MAX(1,ABS(B28))),EXACT(C28&amp;"",B28&amp;"")))</f>
      </c>
      <c r="E28">
        <f>ISERROR(C28)</f>
      </c>
    </row>
    <row r="29">
      <c r="A29" t="str">
        <v>I5</v>
      </c>
      <c r="B29">
        <v>60</v>
      </c>
      <c r="C29">
        <f>'xaydung'!I5</f>
      </c>
      <c r="D29">
        <f>IF(ISERROR(C29),LEFT(B29&amp;"",1)="#",IF(ISNUMBER(C29),AND(ISNUMBER(B29),ABS(C29-B29)&lt;=0.000001*MAX(1,ABS(B29))),EXACT(C29&amp;"",B29&amp;"")))</f>
      </c>
      <c r="E29">
        <f>ISERROR(C29)</f>
      </c>
    </row>
    <row r="30">
      <c r="A30" t="str">
        <v>I6</v>
      </c>
      <c r="B30">
        <v>120</v>
      </c>
      <c r="C30">
        <f>'xaydung'!I6</f>
      </c>
      <c r="D30">
        <f>IF(ISERROR(C30),LEFT(B30&amp;"",1)="#",IF(ISNUMBER(C30),AND(ISNUMBER(B30),ABS(C30-B30)&lt;=0.000001*MAX(1,ABS(B30))),EXACT(C30&amp;"",B30&amp;"")))</f>
      </c>
      <c r="E30">
        <f>ISERROR(C30)</f>
      </c>
    </row>
    <row r="31">
      <c r="A31" t="str">
        <v>I7</v>
      </c>
      <c r="B31">
        <v>60</v>
      </c>
      <c r="C31">
        <f>'xaydung'!I7</f>
      </c>
      <c r="D31">
        <f>IF(ISERROR(C31),LEFT(B31&amp;"",1)="#",IF(ISNUMBER(C31),AND(ISNUMBER(B31),ABS(C31-B31)&lt;=0.000001*MAX(1,ABS(B31))),EXACT(C31&amp;"",B31&amp;"")))</f>
      </c>
      <c r="E31">
        <f>ISERROR(C31)</f>
      </c>
    </row>
    <row r="32">
      <c r="A32" t="str">
        <v>I8</v>
      </c>
      <c r="B32">
        <v>120</v>
      </c>
      <c r="C32">
        <f>'xaydung'!I8</f>
      </c>
      <c r="D32">
        <f>IF(ISERROR(C32),LEFT(B32&amp;"",1)="#",IF(ISNUMBER(C32),AND(ISNUMBER(B32),ABS(C32-B32)&lt;=0.000001*MAX(1,ABS(B32))),EXACT(C32&amp;"",B32&amp;"")))</f>
      </c>
      <c r="E32">
        <f>ISERROR(C32)</f>
      </c>
    </row>
    <row r="33">
      <c r="A33" t="str">
        <v>I9</v>
      </c>
      <c r="B33">
        <v>80</v>
      </c>
      <c r="C33">
        <f>'xaydung'!I9</f>
      </c>
      <c r="D33">
        <f>IF(ISERROR(C33),LEFT(B33&amp;"",1)="#",IF(ISNUMBER(C33),AND(ISNUMBER(B33),ABS(C33-B33)&lt;=0.000001*MAX(1,ABS(B33))),EXACT(C33&amp;"",B33&amp;"")))</f>
      </c>
      <c r="E33">
        <f>ISERROR(C33)</f>
      </c>
    </row>
    <row r="34">
      <c r="A34" t="str">
        <v>I10</v>
      </c>
      <c r="B34">
        <v>100</v>
      </c>
      <c r="C34">
        <f>'xaydung'!I10</f>
      </c>
      <c r="D34">
        <f>IF(ISERROR(C34),LEFT(B34&amp;"",1)="#",IF(ISNUMBER(C34),AND(ISNUMBER(B34),ABS(C34-B34)&lt;=0.000001*MAX(1,ABS(B34))),EXACT(C34&amp;"",B34&amp;"")))</f>
      </c>
      <c r="E34">
        <f>ISERROR(C34)</f>
      </c>
    </row>
    <row r="35">
      <c r="A35" t="str">
        <v>I11</v>
      </c>
      <c r="B35">
        <v>120</v>
      </c>
      <c r="C35">
        <f>'xaydung'!I11</f>
      </c>
      <c r="D35">
        <f>IF(ISERROR(C35),LEFT(B35&amp;"",1)="#",IF(ISNUMBER(C35),AND(ISNUMBER(B35),ABS(C35-B35)&lt;=0.000001*MAX(1,ABS(B35))),EXACT(C35&amp;"",B35&amp;"")))</f>
      </c>
      <c r="E35">
        <f>ISERROR(C35)</f>
      </c>
    </row>
    <row r="36">
      <c r="A36" t="str">
        <v>I12</v>
      </c>
      <c r="B36">
        <v>100</v>
      </c>
      <c r="C36">
        <f>'xaydung'!I12</f>
      </c>
      <c r="D36">
        <f>IF(ISERROR(C36),LEFT(B36&amp;"",1)="#",IF(ISNUMBER(C36),AND(ISNUMBER(B36),ABS(C36-B36)&lt;=0.000001*MAX(1,ABS(B36))),EXACT(C36&amp;"",B36&amp;"")))</f>
      </c>
      <c r="E36">
        <f>ISERROR(C36)</f>
      </c>
    </row>
    <row r="37">
      <c r="A37" t="str">
        <v>I13</v>
      </c>
      <c r="B37">
        <v>80</v>
      </c>
      <c r="C37">
        <f>'xaydung'!I13</f>
      </c>
      <c r="D37">
        <f>IF(ISERROR(C37),LEFT(B37&amp;"",1)="#",IF(ISNUMBER(C37),AND(ISNUMBER(B37),ABS(C37-B37)&lt;=0.000001*MAX(1,ABS(B37))),EXACT(C37&amp;"",B37&amp;"")))</f>
      </c>
      <c r="E37">
        <f>ISERROR(C37)</f>
      </c>
    </row>
    <row r="38">
      <c r="A38" t="str">
        <v>J2</v>
      </c>
      <c r="B38">
        <v>213</v>
      </c>
      <c r="C38">
        <f>'xaydung'!J2</f>
      </c>
      <c r="D38">
        <f>IF(ISERROR(C38),LEFT(B38&amp;"",1)="#",IF(ISNUMBER(C38),AND(ISNUMBER(B38),ABS(C38-B38)&lt;=0.000001*MAX(1,ABS(B38))),EXACT(C38&amp;"",B38&amp;"")))</f>
      </c>
      <c r="E38">
        <f>ISERROR(C38)</f>
      </c>
    </row>
    <row r="39">
      <c r="A39" t="str">
        <v>J3</v>
      </c>
      <c r="B39">
        <v>367</v>
      </c>
      <c r="C39">
        <f>'xaydung'!J3</f>
      </c>
      <c r="D39">
        <f>IF(ISERROR(C39),LEFT(B39&amp;"",1)="#",IF(ISNUMBER(C39),AND(ISNUMBER(B39),ABS(C39-B39)&lt;=0.000001*MAX(1,ABS(B39))),EXACT(C39&amp;"",B39&amp;"")))</f>
      </c>
      <c r="E39">
        <f>ISERROR(C39)</f>
      </c>
    </row>
    <row r="40">
      <c r="A40" t="str">
        <v>J4</v>
      </c>
      <c r="B40">
        <v>616</v>
      </c>
      <c r="C40">
        <f>'xaydung'!J4</f>
      </c>
      <c r="D40">
        <f>IF(ISERROR(C40),LEFT(B40&amp;"",1)="#",IF(ISNUMBER(C40),AND(ISNUMBER(B40),ABS(C40-B40)&lt;=0.000001*MAX(1,ABS(B40))),EXACT(C40&amp;"",B40&amp;"")))</f>
      </c>
      <c r="E40">
        <f>ISERROR(C40)</f>
      </c>
    </row>
    <row r="41">
      <c r="A41" t="str">
        <v>J5</v>
      </c>
      <c r="B41">
        <v>1469</v>
      </c>
      <c r="C41">
        <f>'xaydung'!J5</f>
      </c>
      <c r="D41">
        <f>IF(ISERROR(C41),LEFT(B41&amp;"",1)="#",IF(ISNUMBER(C41),AND(ISNUMBER(B41),ABS(C41-B41)&lt;=0.000001*MAX(1,ABS(B41))),EXACT(C41&amp;"",B41&amp;"")))</f>
      </c>
      <c r="E41">
        <f>ISERROR(C41)</f>
      </c>
    </row>
    <row r="42">
      <c r="A42" t="str">
        <v>J6</v>
      </c>
      <c r="B42">
        <v>2271</v>
      </c>
      <c r="C42">
        <f>'xaydung'!J6</f>
      </c>
      <c r="D42">
        <f>IF(ISERROR(C42),LEFT(B42&amp;"",1)="#",IF(ISNUMBER(C42),AND(ISNUMBER(B42),ABS(C42-B42)&lt;=0.000001*MAX(1,ABS(B42))),EXACT(C42&amp;"",B42&amp;"")))</f>
      </c>
      <c r="E42">
        <f>ISERROR(C42)</f>
      </c>
    </row>
    <row r="43">
      <c r="A43" t="str">
        <v>J7</v>
      </c>
      <c r="B43">
        <v>213</v>
      </c>
      <c r="C43">
        <f>'xaydung'!J7</f>
      </c>
      <c r="D43">
        <f>IF(ISERROR(C43),LEFT(B43&amp;"",1)="#",IF(ISNUMBER(C43),AND(ISNUMBER(B43),ABS(C43-B43)&lt;=0.000001*MAX(1,ABS(B43))),EXACT(C43&amp;"",B43&amp;"")))</f>
      </c>
      <c r="E43">
        <f>ISERROR(C43)</f>
      </c>
    </row>
    <row r="44">
      <c r="A44" t="str">
        <v>J8</v>
      </c>
      <c r="B44">
        <v>10656</v>
      </c>
      <c r="C44">
        <f>'xaydung'!J8</f>
      </c>
      <c r="D44">
        <f>IF(ISERROR(C44),LEFT(B44&amp;"",1)="#",IF(ISNUMBER(C44),AND(ISNUMBER(B44),ABS(C44-B44)&lt;=0.000001*MAX(1,ABS(B44))),EXACT(C44&amp;"",B44&amp;"")))</f>
      </c>
      <c r="E44">
        <f>ISERROR(C44)</f>
      </c>
    </row>
    <row r="45">
      <c r="A45" t="str">
        <v>J9</v>
      </c>
      <c r="B45">
        <v>19814</v>
      </c>
      <c r="C45">
        <f>'xaydung'!J9</f>
      </c>
      <c r="D45">
        <f>IF(ISERROR(C45),LEFT(B45&amp;"",1)="#",IF(ISNUMBER(C45),AND(ISNUMBER(B45),ABS(C45-B45)&lt;=0.000001*MAX(1,ABS(B45))),EXACT(C45&amp;"",B45&amp;"")))</f>
      </c>
      <c r="E45">
        <f>ISERROR(C45)</f>
      </c>
    </row>
    <row r="46">
      <c r="A46" t="str">
        <v>J10</v>
      </c>
      <c r="B46">
        <v>391</v>
      </c>
      <c r="C46">
        <f>'xaydung'!J10</f>
      </c>
      <c r="D46">
        <f>IF(ISERROR(C46),LEFT(B46&amp;"",1)="#",IF(ISNUMBER(C46),AND(ISNUMBER(B46),ABS(C46-B46)&lt;=0.000001*MAX(1,ABS(B46))),EXACT(C46&amp;"",B46&amp;"")))</f>
      </c>
      <c r="E46">
        <f>ISERROR(C46)</f>
      </c>
    </row>
    <row r="47">
      <c r="A47" t="str">
        <v>J11</v>
      </c>
      <c r="B47">
        <v>4032</v>
      </c>
      <c r="C47">
        <f>'xaydung'!J11</f>
      </c>
      <c r="D47">
        <f>IF(ISERROR(C47),LEFT(B47&amp;"",1)="#",IF(ISNUMBER(C47),AND(ISNUMBER(B47),ABS(C47-B47)&lt;=0.000001*MAX(1,ABS(B47))),EXACT(C47&amp;"",B47&amp;"")))</f>
      </c>
      <c r="E47">
        <f>ISERROR(C47)</f>
      </c>
    </row>
    <row r="48">
      <c r="A48" t="str">
        <v>J12</v>
      </c>
      <c r="B48">
        <v>432</v>
      </c>
      <c r="C48">
        <f>'xaydung'!J12</f>
      </c>
      <c r="D48">
        <f>IF(ISERROR(C48),LEFT(B48&amp;"",1)="#",IF(ISNUMBER(C48),AND(ISNUMBER(B48),ABS(C48-B48)&lt;=0.000001*MAX(1,ABS(B48))),EXACT(C48&amp;"",B48&amp;"")))</f>
      </c>
      <c r="E48">
        <f>ISERROR(C48)</f>
      </c>
    </row>
    <row r="49">
      <c r="A49" t="str">
        <v>J13</v>
      </c>
      <c r="B49">
        <v>899</v>
      </c>
      <c r="C49">
        <f>'xaydung'!J13</f>
      </c>
      <c r="D49">
        <f>IF(ISERROR(C49),LEFT(B49&amp;"",1)="#",IF(ISNUMBER(C49),AND(ISNUMBER(B49),ABS(C49-B49)&lt;=0.000001*MAX(1,ABS(B49))),EXACT(C49&amp;"",B49&amp;"")))</f>
      </c>
      <c r="E49">
        <f>ISERROR(C49)</f>
      </c>
    </row>
    <row r="50">
      <c r="A50" t="str">
        <v>K2</v>
      </c>
      <c r="B50">
        <v>4.45</v>
      </c>
      <c r="C50">
        <f>'xaydung'!K2</f>
      </c>
      <c r="D50">
        <f>IF(ISERROR(C50),LEFT(B50&amp;"",1)="#",IF(ISNUMBER(C50),AND(ISNUMBER(B50),ABS(C50-B50)&lt;=0.000001*MAX(1,ABS(B50))),EXACT(C50&amp;"",B50&amp;"")))</f>
      </c>
      <c r="E50">
        <f>ISERROR(C50)</f>
      </c>
    </row>
    <row r="51">
      <c r="A51" t="str">
        <v>K3</v>
      </c>
      <c r="B51">
        <v>9.18</v>
      </c>
      <c r="C51">
        <f>'xaydung'!K3</f>
      </c>
      <c r="D51">
        <f>IF(ISERROR(C51),LEFT(B51&amp;"",1)="#",IF(ISNUMBER(C51),AND(ISNUMBER(B51),ABS(C51-B51)&lt;=0.000001*MAX(1,ABS(B51))),EXACT(C51&amp;"",B51&amp;"")))</f>
      </c>
      <c r="E51">
        <f>ISERROR(C51)</f>
      </c>
    </row>
    <row r="52">
      <c r="A52" t="str">
        <v>K4</v>
      </c>
      <c r="B52">
        <v>19.25</v>
      </c>
      <c r="C52">
        <f>'xaydung'!K4</f>
      </c>
      <c r="D52">
        <f>IF(ISERROR(C52),LEFT(B52&amp;"",1)="#",IF(ISNUMBER(C52),AND(ISNUMBER(B52),ABS(C52-B52)&lt;=0.000001*MAX(1,ABS(B52))),EXACT(C52&amp;"",B52&amp;"")))</f>
      </c>
      <c r="E52">
        <f>ISERROR(C52)</f>
      </c>
    </row>
    <row r="53">
      <c r="A53" t="str">
        <v>K5</v>
      </c>
      <c r="B53">
        <v>61.2</v>
      </c>
      <c r="C53">
        <f>'xaydung'!K5</f>
      </c>
      <c r="D53">
        <f>IF(ISERROR(C53),LEFT(B53&amp;"",1)="#",IF(ISNUMBER(C53),AND(ISNUMBER(B53),ABS(C53-B53)&lt;=0.000001*MAX(1,ABS(B53))),EXACT(C53&amp;"",B53&amp;"")))</f>
      </c>
      <c r="E53">
        <f>ISERROR(C53)</f>
      </c>
    </row>
    <row r="54">
      <c r="A54" t="str">
        <v>K6</v>
      </c>
      <c r="B54">
        <v>47.3</v>
      </c>
      <c r="C54">
        <f>'xaydung'!K6</f>
      </c>
      <c r="D54">
        <f>IF(ISERROR(C54),LEFT(B54&amp;"",1)="#",IF(ISNUMBER(C54),AND(ISNUMBER(B54),ABS(C54-B54)&lt;=0.000001*MAX(1,ABS(B54))),EXACT(C54&amp;"",B54&amp;"")))</f>
      </c>
      <c r="E54">
        <f>ISERROR(C54)</f>
      </c>
    </row>
    <row r="55">
      <c r="A55" t="str">
        <v>K7</v>
      </c>
      <c r="B55">
        <v>8.88</v>
      </c>
      <c r="C55">
        <f>'xaydung'!K7</f>
      </c>
      <c r="D55">
        <f>IF(ISERROR(C55),LEFT(B55&amp;"",1)="#",IF(ISNUMBER(C55),AND(ISNUMBER(B55),ABS(C55-B55)&lt;=0.000001*MAX(1,ABS(B55))),EXACT(C55&amp;"",B55&amp;"")))</f>
      </c>
      <c r="E55">
        <f>ISERROR(C55)</f>
      </c>
    </row>
    <row r="56">
      <c r="A56" t="str">
        <v>K8</v>
      </c>
      <c r="B56">
        <v>222</v>
      </c>
      <c r="C56">
        <f>'xaydung'!K8</f>
      </c>
      <c r="D56">
        <f>IF(ISERROR(C56),LEFT(B56&amp;"",1)="#",IF(ISNUMBER(C56),AND(ISNUMBER(B56),ABS(C56-B56)&lt;=0.000001*MAX(1,ABS(B56))),EXACT(C56&amp;"",B56&amp;"")))</f>
      </c>
      <c r="E56">
        <f>ISERROR(C56)</f>
      </c>
    </row>
    <row r="57">
      <c r="A57" t="str">
        <v>K9</v>
      </c>
      <c r="B57">
        <v>619.2</v>
      </c>
      <c r="C57">
        <f>'xaydung'!K9</f>
      </c>
      <c r="D57">
        <f>IF(ISERROR(C57),LEFT(B57&amp;"",1)="#",IF(ISNUMBER(C57),AND(ISNUMBER(B57),ABS(C57-B57)&lt;=0.000001*MAX(1,ABS(B57))),EXACT(C57&amp;"",B57&amp;"")))</f>
      </c>
      <c r="E57">
        <f>ISERROR(C57)</f>
      </c>
    </row>
    <row r="58">
      <c r="A58" t="str">
        <v>K10</v>
      </c>
      <c r="B58">
        <v>9.78</v>
      </c>
      <c r="C58">
        <f>'xaydung'!K10</f>
      </c>
      <c r="D58">
        <f>IF(ISERROR(C58),LEFT(B58&amp;"",1)="#",IF(ISNUMBER(C58),AND(ISNUMBER(B58),ABS(C58-B58)&lt;=0.000001*MAX(1,ABS(B58))),EXACT(C58&amp;"",B58&amp;"")))</f>
      </c>
      <c r="E58">
        <f>ISERROR(C58)</f>
      </c>
    </row>
    <row r="59">
      <c r="A59" t="str">
        <v>K11</v>
      </c>
      <c r="B59">
        <v>84</v>
      </c>
      <c r="C59">
        <f>'xaydung'!K11</f>
      </c>
      <c r="D59">
        <f>IF(ISERROR(C59),LEFT(B59&amp;"",1)="#",IF(ISNUMBER(C59),AND(ISNUMBER(B59),ABS(C59-B59)&lt;=0.000001*MAX(1,ABS(B59))),EXACT(C59&amp;"",B59&amp;"")))</f>
      </c>
      <c r="E59">
        <f>ISERROR(C59)</f>
      </c>
    </row>
    <row r="60">
      <c r="A60" t="str">
        <v>K12</v>
      </c>
      <c r="B60">
        <v>10.8</v>
      </c>
      <c r="C60">
        <f>'xaydung'!K12</f>
      </c>
      <c r="D60">
        <f>IF(ISERROR(C60),LEFT(B60&amp;"",1)="#",IF(ISNUMBER(C60),AND(ISNUMBER(B60),ABS(C60-B60)&lt;=0.000001*MAX(1,ABS(B60))),EXACT(C60&amp;"",B60&amp;"")))</f>
      </c>
      <c r="E60">
        <f>ISERROR(C60)</f>
      </c>
    </row>
    <row r="61">
      <c r="A61" t="str">
        <v>K13</v>
      </c>
      <c r="B61">
        <v>28.08</v>
      </c>
      <c r="C61">
        <f>'xaydung'!K13</f>
      </c>
      <c r="D61">
        <f>IF(ISERROR(C61),LEFT(B61&amp;"",1)="#",IF(ISNUMBER(C61),AND(ISNUMBER(B61),ABS(C61-B61)&lt;=0.000001*MAX(1,ABS(B61))),EXACT(C61&amp;"",B61&amp;"")))</f>
      </c>
      <c r="E61">
        <f>ISERROR(C61)</f>
      </c>
    </row>
    <row r="62">
      <c r="A62" t="str">
        <v>Z2</v>
      </c>
      <c r="B62" t="str">
        <v>CK08</v>
      </c>
      <c r="C62">
        <f>'xaydung'!Z2</f>
      </c>
      <c r="D62">
        <f>IF(ISERROR(C62),LEFT(B62&amp;"",1)="#",IF(ISNUMBER(C62),AND(ISNUMBER(B62),ABS(C62-B62)&lt;=0.000001*MAX(1,ABS(B62))),EXACT(C62&amp;"",B62&amp;"")))</f>
      </c>
      <c r="E62">
        <f>ISERROR(C62)</f>
      </c>
    </row>
    <row r="63">
      <c r="A63" t="str">
        <v>Z3</v>
      </c>
      <c r="B63">
        <v>1190</v>
      </c>
      <c r="C63">
        <f>'xaydung'!Z3</f>
      </c>
      <c r="D63">
        <f>IF(ISERROR(C63),LEFT(B63&amp;"",1)="#",IF(ISNUMBER(C63),AND(ISNUMBER(B63),ABS(C63-B63)&lt;=0.000001*MAX(1,ABS(B63))),EXACT(C63&amp;"",B63&amp;"")))</f>
      </c>
      <c r="E63">
        <f>ISERROR(C63)</f>
      </c>
    </row>
    <row r="64">
      <c r="A64" t="str">
        <v>Z4</v>
      </c>
      <c r="B64">
        <v>2</v>
      </c>
      <c r="C64">
        <f>'xaydung'!Z4</f>
      </c>
      <c r="D64">
        <f>IF(ISERROR(C64),LEFT(B64&amp;"",1)="#",IF(ISNUMBER(C64),AND(ISNUMBER(B64),ABS(C64-B64)&lt;=0.000001*MAX(1,ABS(B64))),EXACT(C64&amp;"",B64&amp;"")))</f>
      </c>
      <c r="E64">
        <f>ISERROR(C64)</f>
      </c>
    </row>
    <row r="65">
      <c r="A65" t="str">
        <v>Z5</v>
      </c>
      <c r="B65">
        <v>88.87</v>
      </c>
      <c r="C65">
        <f>'xaydung'!Z5</f>
      </c>
      <c r="D65">
        <f>IF(ISERROR(C65),LEFT(B65&amp;"",1)="#",IF(ISNUMBER(C65),AND(ISNUMBER(B65),ABS(C65-B65)&lt;=0.000001*MAX(1,ABS(B65))),EXACT(C65&amp;"",B65&amp;"")))</f>
      </c>
      <c r="E65">
        <f>ISERROR(C65)</f>
      </c>
    </row>
    <row r="66">
      <c r="A66" t="str">
        <v>Z6</v>
      </c>
      <c r="B66">
        <v>1469</v>
      </c>
      <c r="C66">
        <f>'xaydung'!Z6</f>
      </c>
      <c r="D66">
        <f>IF(ISERROR(C66),LEFT(B66&amp;"",1)="#",IF(ISNUMBER(C66),AND(ISNUMBER(B66),ABS(C66-B66)&lt;=0.000001*MAX(1,ABS(B66))),EXACT(C66&amp;"",B66&amp;"")))</f>
      </c>
      <c r="E66">
        <f>ISERROR(C66)</f>
      </c>
    </row>
    <row r="67">
      <c r="A67" t="str">
        <v>Z7</v>
      </c>
      <c r="B67">
        <v>9.465</v>
      </c>
      <c r="C67">
        <f>'xaydung'!Z7</f>
      </c>
      <c r="D67">
        <f>IF(ISERROR(C67),LEFT(B67&amp;"",1)="#",IF(ISNUMBER(C67),AND(ISNUMBER(B67),ABS(C67-B67)&lt;=0.000001*MAX(1,ABS(B67))),EXACT(C67&amp;"",B67&amp;"")))</f>
      </c>
      <c r="E67">
        <f>ISERROR(C67)</f>
      </c>
    </row>
    <row r="68">
      <c r="A68" t="str">
        <v>Z8</v>
      </c>
      <c r="B68">
        <v>88.8</v>
      </c>
      <c r="C68">
        <f>'xaydung'!Z8</f>
      </c>
      <c r="D68">
        <f>IF(ISERROR(C68),LEFT(B68&amp;"",1)="#",IF(ISNUMBER(C68),AND(ISNUMBER(B68),ABS(C68-B68)&lt;=0.000001*MAX(1,ABS(B68))),EXACT(C68&amp;"",B68&amp;"")))</f>
      </c>
      <c r="E68">
        <f>ISERROR(C68)</f>
      </c>
    </row>
    <row r="69">
      <c r="A69" t="str">
        <v>Z9</v>
      </c>
      <c r="B69">
        <v>70.53</v>
      </c>
      <c r="C69">
        <f>'xaydung'!Z9</f>
      </c>
      <c r="D69">
        <f>IF(ISERROR(C69),LEFT(B69&amp;"",1)="#",IF(ISNUMBER(C69),AND(ISNUMBER(B69),ABS(C69-B69)&lt;=0.000001*MAX(1,ABS(B69))),EXACT(C69&amp;"",B69&amp;"")))</f>
      </c>
      <c r="E69">
        <f>ISERROR(C69)</f>
      </c>
    </row>
    <row r="70">
      <c r="A70" t="str">
        <v>Z10</v>
      </c>
      <c r="B70">
        <v>1190</v>
      </c>
      <c r="C70">
        <f>'xaydung'!Z10</f>
      </c>
      <c r="D70">
        <f>IF(ISERROR(C70),LEFT(B70&amp;"",1)="#",IF(ISNUMBER(C70),AND(ISNUMBER(B70),ABS(C70-B70)&lt;=0.000001*MAX(1,ABS(B70))),EXACT(C70&amp;"",B70&amp;"")))</f>
      </c>
      <c r="E70">
        <f>ISERROR(C70)</f>
      </c>
    </row>
    <row r="71">
      <c r="A71" t="str">
        <v>Z11</v>
      </c>
      <c r="B71">
        <v>3</v>
      </c>
      <c r="C71">
        <f>'xaydung'!Z11</f>
      </c>
      <c r="D71">
        <f>IF(ISERROR(C71),LEFT(B71&amp;"",1)="#",IF(ISNUMBER(C71),AND(ISNUMBER(B71),ABS(C71-B71)&lt;=0.000001*MAX(1,ABS(B71))),EXACT(C71&amp;"",B71&amp;"")))</f>
      </c>
      <c r="E71">
        <f>ISERROR(C71)</f>
      </c>
    </row>
    <row r="72">
      <c r="A72" t="str">
        <v>Z12</v>
      </c>
      <c r="B72">
        <v>1190</v>
      </c>
      <c r="C72">
        <f>'xaydung'!Z12</f>
      </c>
      <c r="D72">
        <f>IF(ISERROR(C72),LEFT(B72&amp;"",1)="#",IF(ISNUMBER(C72),AND(ISNUMBER(B72),ABS(C72-B72)&lt;=0.000001*MAX(1,ABS(B72))),EXACT(C72&amp;"",B72&amp;"")))</f>
      </c>
      <c r="E72">
        <f>ISERROR(C72)</f>
      </c>
    </row>
    <row r="73">
      <c r="A73" t="str">
        <v>Z13</v>
      </c>
      <c r="B73">
        <v>162.4</v>
      </c>
      <c r="C73">
        <f>'xaydung'!Z13</f>
      </c>
      <c r="D73">
        <f>IF(ISERROR(C73),LEFT(B73&amp;"",1)="#",IF(ISNUMBER(C73),AND(ISNUMBER(B73),ABS(C73-B73)&lt;=0.000001*MAX(1,ABS(B73))),EXACT(C73&amp;"",B73&amp;"")))</f>
      </c>
      <c r="E73">
        <f>ISERROR(C73)</f>
      </c>
    </row>
  </sheetData>
  <ignoredErrors>
    <ignoredError numberStoredAsText="1" sqref="A1:E73"/>
  </ignoredErrors>
</worksheet>
</file>

<file path=xl/worksheets/sheet8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MaBN</v>
      </c>
      <c r="B1" t="str">
        <v>NhomTuoi</v>
      </c>
      <c r="C1" t="str">
        <v>CanNang</v>
      </c>
      <c r="D1" t="str">
        <v>ChieuCao</v>
      </c>
      <c r="E1" t="str">
        <v>LieuMgKg</v>
      </c>
      <c r="F1" t="str">
        <v>BMI</v>
      </c>
      <c r="G1" t="str">
        <v>PhanLoaiBMI</v>
      </c>
      <c r="H1" t="str">
        <v>LieuNgay</v>
      </c>
      <c r="I1" t="str">
        <v>SoVien</v>
      </c>
      <c r="W1" t="str">
        <v>NhomTuoi</v>
      </c>
      <c r="Y1" t="str">
        <v>TongHop</v>
      </c>
      <c r="Z1" t="str">
        <v>KetQua</v>
      </c>
    </row>
    <row r="2">
      <c r="A2" t="str">
        <v>BN001</v>
      </c>
      <c r="B2" t="str">
        <v>TRE</v>
      </c>
      <c r="C2">
        <v>77</v>
      </c>
      <c r="D2">
        <v>165</v>
      </c>
      <c r="E2">
        <v>10</v>
      </c>
      <c r="F2">
        <f>ROUND(C2/POWER(D2/100,2),1)</f>
        <v>28.3</v>
      </c>
      <c r="G2" t="str">
        <f>IF(F2&lt;18.5,"GAY",IF(F2&lt;23,"BINH THUONG",IF(F2&lt;25,"THUA CAN","BEO PHI")))</f>
        <v>BEO PHI</v>
      </c>
      <c r="H2">
        <f>C2*E2</f>
        <v>770</v>
      </c>
      <c r="I2">
        <f>ROUNDUP(H2/250,0)</f>
        <v>4</v>
      </c>
      <c r="W2" t="str">
        <v>TRE</v>
      </c>
      <c r="Y2" t="str">
        <v>Ma MaBN co BMI lon nhat</v>
      </c>
      <c r="Z2" t="str">
        <f>INDEX(A2:A13,MATCH(MAX(F2:F13),F2:F13,0))</f>
        <v>BN006</v>
      </c>
    </row>
    <row r="3">
      <c r="A3" t="str">
        <v>BN002</v>
      </c>
      <c r="B3" t="str">
        <v>TRUONG THANH</v>
      </c>
      <c r="C3">
        <v>42</v>
      </c>
      <c r="D3">
        <v>156</v>
      </c>
      <c r="E3">
        <v>20</v>
      </c>
      <c r="F3">
        <f>ROUND(C3/POWER(D3/100,2),1)</f>
        <v>17.3</v>
      </c>
      <c r="G3" t="str">
        <f>IF(F3&lt;18.5,"GAY",IF(F3&lt;23,"BINH THUONG",IF(F3&lt;25,"THUA CAN","BEO PHI")))</f>
        <v>GAY</v>
      </c>
      <c r="H3">
        <f>C3*E3</f>
        <v>840</v>
      </c>
      <c r="I3">
        <f>ROUNDUP(H3/250,0)</f>
        <v>4</v>
      </c>
      <c r="Y3" t="str">
        <v>Tong LieuNgay khi NhomTuoi = TRE</v>
      </c>
      <c r="Z3">
        <f>SUMIF(B2:B13,"TRE",H2:H13)</f>
        <v>2250</v>
      </c>
    </row>
    <row r="4">
      <c r="A4" t="str">
        <v>BN003</v>
      </c>
      <c r="B4" t="str">
        <v>CAO TUOI</v>
      </c>
      <c r="C4">
        <v>40</v>
      </c>
      <c r="D4">
        <v>181</v>
      </c>
      <c r="E4">
        <v>10</v>
      </c>
      <c r="F4">
        <f>ROUND(C4/POWER(D4/100,2),1)</f>
        <v>12.2</v>
      </c>
      <c r="G4" t="str">
        <f>IF(F4&lt;18.5,"GAY",IF(F4&lt;23,"BINH THUONG",IF(F4&lt;25,"THUA CAN","BEO PHI")))</f>
        <v>GAY</v>
      </c>
      <c r="H4">
        <f>C4*E4</f>
        <v>400</v>
      </c>
      <c r="I4">
        <f>ROUNDUP(H4/250,0)</f>
        <v>2</v>
      </c>
      <c r="Y4" t="str">
        <v>So dong NhomTuoi = TRUONG THANH, BMI &gt;=23</v>
      </c>
      <c r="Z4">
        <f>COUNTIFS(B2:B13,"TRUONG THANH",F2:F13,"&gt;=23")</f>
        <v>0</v>
      </c>
    </row>
    <row r="5">
      <c r="A5" t="str">
        <v>BN004</v>
      </c>
      <c r="B5" t="str">
        <v>CAO TUOI</v>
      </c>
      <c r="C5">
        <v>75</v>
      </c>
      <c r="D5">
        <v>160</v>
      </c>
      <c r="E5">
        <v>10</v>
      </c>
      <c r="F5">
        <f>ROUND(C5/POWER(D5/100,2),1)</f>
        <v>29.3</v>
      </c>
      <c r="G5" t="str">
        <f>IF(F5&lt;18.5,"GAY",IF(F5&lt;23,"BINH THUONG",IF(F5&lt;25,"THUA CAN","BEO PHI")))</f>
        <v>BEO PHI</v>
      </c>
      <c r="H5">
        <f>C5*E5</f>
        <v>750</v>
      </c>
      <c r="I5">
        <f>ROUNDUP(H5/250,0)</f>
        <v>3</v>
      </c>
      <c r="Y5" t="str">
        <v>BMI trung binh khi NhomTuoi = CAO TUOI</v>
      </c>
      <c r="Z5">
        <f>AVERAGEIF(B2:B13,"CAO TUOI",F2:F13)</f>
        <v>25.0125</v>
      </c>
    </row>
    <row r="6">
      <c r="A6" t="str">
        <v>BN005</v>
      </c>
      <c r="B6" t="str">
        <v>CAO TUOI</v>
      </c>
      <c r="C6">
        <v>82</v>
      </c>
      <c r="D6">
        <v>180</v>
      </c>
      <c r="E6">
        <v>5</v>
      </c>
      <c r="F6">
        <f>ROUND(C6/POWER(D6/100,2),1)</f>
        <v>25.3</v>
      </c>
      <c r="G6" t="str">
        <f>IF(F6&lt;18.5,"GAY",IF(F6&lt;23,"BINH THUONG",IF(F6&lt;25,"THUA CAN","BEO PHI")))</f>
        <v>BEO PHI</v>
      </c>
      <c r="H6">
        <f>C6*E6</f>
        <v>410</v>
      </c>
      <c r="I6">
        <f>ROUNDUP(H6/250,0)</f>
        <v>2</v>
      </c>
      <c r="Y6" t="str">
        <v>SoVien lon nhat khi NhomTuoi = TRE</v>
      </c>
      <c r="Z6">
        <f>_xlfn.MAXIFS(I2:I13,B2:B13,"TRE")</f>
        <v>6</v>
      </c>
    </row>
    <row r="7">
      <c r="A7" t="str">
        <v>BN006</v>
      </c>
      <c r="B7" t="str">
        <v>CAO TUOI</v>
      </c>
      <c r="C7">
        <v>88</v>
      </c>
      <c r="D7">
        <v>158</v>
      </c>
      <c r="E7">
        <v>20</v>
      </c>
      <c r="F7">
        <f>ROUND(C7/POWER(D7/100,2),1)</f>
        <v>35.3</v>
      </c>
      <c r="G7" t="str">
        <f>IF(F7&lt;18.5,"GAY",IF(F7&lt;23,"BINH THUONG",IF(F7&lt;25,"THUA CAN","BEO PHI")))</f>
        <v>BEO PHI</v>
      </c>
      <c r="H7">
        <f>C7*E7</f>
        <v>1760</v>
      </c>
      <c r="I7">
        <f>ROUNDUP(H7/250,0)</f>
        <v>8</v>
      </c>
      <c r="Y7" t="str">
        <v>BMI trung vi</v>
      </c>
      <c r="Z7">
        <f>MEDIAN(F2:F13)</f>
        <v>26.8</v>
      </c>
    </row>
    <row r="8">
      <c r="A8" t="str">
        <v>BN007</v>
      </c>
      <c r="B8" t="str">
        <v>CAO TUOI</v>
      </c>
      <c r="C8">
        <v>52</v>
      </c>
      <c r="D8">
        <v>167</v>
      </c>
      <c r="E8">
        <v>10</v>
      </c>
      <c r="F8">
        <f>ROUND(C8/POWER(D8/100,2),1)</f>
        <v>18.6</v>
      </c>
      <c r="G8" t="str">
        <f>IF(F8&lt;18.5,"GAY",IF(F8&lt;23,"BINH THUONG",IF(F8&lt;25,"THUA CAN","BEO PHI")))</f>
        <v>BINH THUONG</v>
      </c>
      <c r="H8">
        <f>C8*E8</f>
        <v>520</v>
      </c>
      <c r="I8">
        <f>ROUNDUP(H8/250,0)</f>
        <v>3</v>
      </c>
      <c r="Y8" t="str">
        <v>BMI lon thu hai</v>
      </c>
      <c r="Z8">
        <f>LARGE(F2:F13,2)</f>
        <v>31.4</v>
      </c>
    </row>
    <row r="9">
      <c r="A9" t="str">
        <v>BN008</v>
      </c>
      <c r="B9" t="str">
        <v>TRUONG THANH</v>
      </c>
      <c r="C9">
        <v>48</v>
      </c>
      <c r="D9">
        <v>157</v>
      </c>
      <c r="E9">
        <v>10</v>
      </c>
      <c r="F9">
        <f>ROUND(C9/POWER(D9/100,2),1)</f>
        <v>19.5</v>
      </c>
      <c r="G9" t="str">
        <f>IF(F9&lt;18.5,"GAY",IF(F9&lt;23,"BINH THUONG",IF(F9&lt;25,"THUA CAN","BEO PHI")))</f>
        <v>BINH THUONG</v>
      </c>
      <c r="H9">
        <f>C9*E9</f>
        <v>480</v>
      </c>
      <c r="I9">
        <f>ROUNDUP(H9/250,0)</f>
        <v>2</v>
      </c>
      <c r="Y9" t="str">
        <v>Do lech chuan BMI</v>
      </c>
      <c r="Z9">
        <f>ROUND(STDEV(F2:F13),2)</f>
        <v>7.07</v>
      </c>
    </row>
    <row r="10">
      <c r="A10" t="str">
        <v>BN009</v>
      </c>
      <c r="B10" t="str">
        <v>CAO TUOI</v>
      </c>
      <c r="C10">
        <v>95</v>
      </c>
      <c r="D10">
        <v>174</v>
      </c>
      <c r="E10">
        <v>20</v>
      </c>
      <c r="F10">
        <f>ROUND(C10/POWER(D10/100,2),1)</f>
        <v>31.4</v>
      </c>
      <c r="G10" t="str">
        <f>IF(F10&lt;18.5,"GAY",IF(F10&lt;23,"BINH THUONG",IF(F10&lt;25,"THUA CAN","BEO PHI")))</f>
        <v>BEO PHI</v>
      </c>
      <c r="H10">
        <f>C10*E10</f>
        <v>1900</v>
      </c>
      <c r="I10">
        <f>ROUNDUP(H10/250,0)</f>
        <v>8</v>
      </c>
      <c r="Y10" t="str">
        <v>Tong LieuNgay theo tieu chi W1:W2</v>
      </c>
      <c r="Z10">
        <f>DSUM(A1:I13,"LieuNgay",W1:W2)</f>
        <v>2250</v>
      </c>
    </row>
    <row r="11">
      <c r="A11" t="str">
        <v>BN010</v>
      </c>
      <c r="B11" t="str">
        <v>CAO TUOI</v>
      </c>
      <c r="C11">
        <v>91</v>
      </c>
      <c r="D11">
        <v>178</v>
      </c>
      <c r="E11">
        <v>10</v>
      </c>
      <c r="F11">
        <f>ROUND(C11/POWER(D11/100,2),1)</f>
        <v>28.7</v>
      </c>
      <c r="G11" t="str">
        <f>IF(F11&lt;18.5,"GAY",IF(F11&lt;23,"BINH THUONG",IF(F11&lt;25,"THUA CAN","BEO PHI")))</f>
        <v>BEO PHI</v>
      </c>
      <c r="H11">
        <f>C11*E11</f>
        <v>910</v>
      </c>
      <c r="I11">
        <f>ROUNDUP(H11/250,0)</f>
        <v>4</v>
      </c>
      <c r="Y11" t="str">
        <v>So dong theo tieu chi W1:W2</v>
      </c>
      <c r="Z11">
        <f>DCOUNT(A1:I13,"LieuNgay",W1:W2)</f>
        <v>2</v>
      </c>
    </row>
    <row r="12">
      <c r="A12" t="str">
        <v>BN011</v>
      </c>
      <c r="B12" t="str">
        <v>CAO TUOI</v>
      </c>
      <c r="C12">
        <v>52</v>
      </c>
      <c r="D12">
        <v>164</v>
      </c>
      <c r="E12">
        <v>10</v>
      </c>
      <c r="F12">
        <f>ROUND(C12/POWER(D12/100,2),1)</f>
        <v>19.3</v>
      </c>
      <c r="G12" t="str">
        <f>IF(F12&lt;18.5,"GAY",IF(F12&lt;23,"BINH THUONG",IF(F12&lt;25,"THUA CAN","BEO PHI")))</f>
        <v>BINH THUONG</v>
      </c>
      <c r="H12">
        <f>C12*E12</f>
        <v>520</v>
      </c>
      <c r="I12">
        <f>ROUNDUP(H12/250,0)</f>
        <v>3</v>
      </c>
      <c r="Y12" t="str">
        <v>Tong LieuNgay khi NhomTuoi = TRE (SUMPRODUCT)</v>
      </c>
      <c r="Z12">
        <f>SUMPRODUCT((B2:B13="TRE")*H2:H13)</f>
        <v>2250</v>
      </c>
    </row>
    <row r="13">
      <c r="A13" t="str">
        <v>BN012</v>
      </c>
      <c r="B13" t="str">
        <v>TRE</v>
      </c>
      <c r="C13">
        <v>74</v>
      </c>
      <c r="D13">
        <v>155</v>
      </c>
      <c r="E13">
        <v>20</v>
      </c>
      <c r="F13">
        <f>ROUND(C13/POWER(D13/100,2),1)</f>
        <v>30.8</v>
      </c>
      <c r="G13" t="str">
        <f>IF(F13&lt;18.5,"GAY",IF(F13&lt;23,"BINH THUONG",IF(F13&lt;25,"THUA CAN","BEO PHI")))</f>
        <v>BEO PHI</v>
      </c>
      <c r="H13">
        <f>C13*E13</f>
        <v>1480</v>
      </c>
      <c r="I13">
        <f>ROUNDUP(H13/250,0)</f>
        <v>6</v>
      </c>
      <c r="Y13" t="str">
        <v>Tong CanNang x LieuMgKg</v>
      </c>
      <c r="Z13">
        <f>SUMPRODUCT(C2:C13,E2:E13)</f>
        <v>10740</v>
      </c>
    </row>
  </sheetData>
  <ignoredErrors>
    <ignoredError numberStoredAsText="1" sqref="A1:Z13"/>
  </ignoredErrors>
</worksheet>
</file>

<file path=xl/worksheets/sheet89.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28.3</v>
      </c>
      <c r="C2">
        <f>'yduoc'!F2</f>
      </c>
      <c r="D2">
        <f>IF(ISERROR(C2),LEFT(B2&amp;"",1)="#",IF(ISNUMBER(C2),AND(ISNUMBER(B2),ABS(C2-B2)&lt;=0.000001*MAX(1,ABS(B2))),EXACT(C2&amp;"",B2&amp;"")))</f>
      </c>
      <c r="E2">
        <f>ISERROR(C2)</f>
      </c>
    </row>
    <row r="3">
      <c r="A3" t="str">
        <v>F3</v>
      </c>
      <c r="B3">
        <v>17.3</v>
      </c>
      <c r="C3">
        <f>'yduoc'!F3</f>
      </c>
      <c r="D3">
        <f>IF(ISERROR(C3),LEFT(B3&amp;"",1)="#",IF(ISNUMBER(C3),AND(ISNUMBER(B3),ABS(C3-B3)&lt;=0.000001*MAX(1,ABS(B3))),EXACT(C3&amp;"",B3&amp;"")))</f>
      </c>
      <c r="E3">
        <f>ISERROR(C3)</f>
      </c>
    </row>
    <row r="4">
      <c r="A4" t="str">
        <v>F4</v>
      </c>
      <c r="B4">
        <v>12.2</v>
      </c>
      <c r="C4">
        <f>'yduoc'!F4</f>
      </c>
      <c r="D4">
        <f>IF(ISERROR(C4),LEFT(B4&amp;"",1)="#",IF(ISNUMBER(C4),AND(ISNUMBER(B4),ABS(C4-B4)&lt;=0.000001*MAX(1,ABS(B4))),EXACT(C4&amp;"",B4&amp;"")))</f>
      </c>
      <c r="E4">
        <f>ISERROR(C4)</f>
      </c>
    </row>
    <row r="5">
      <c r="A5" t="str">
        <v>F5</v>
      </c>
      <c r="B5">
        <v>29.3</v>
      </c>
      <c r="C5">
        <f>'yduoc'!F5</f>
      </c>
      <c r="D5">
        <f>IF(ISERROR(C5),LEFT(B5&amp;"",1)="#",IF(ISNUMBER(C5),AND(ISNUMBER(B5),ABS(C5-B5)&lt;=0.000001*MAX(1,ABS(B5))),EXACT(C5&amp;"",B5&amp;"")))</f>
      </c>
      <c r="E5">
        <f>ISERROR(C5)</f>
      </c>
    </row>
    <row r="6">
      <c r="A6" t="str">
        <v>F6</v>
      </c>
      <c r="B6">
        <v>25.3</v>
      </c>
      <c r="C6">
        <f>'yduoc'!F6</f>
      </c>
      <c r="D6">
        <f>IF(ISERROR(C6),LEFT(B6&amp;"",1)="#",IF(ISNUMBER(C6),AND(ISNUMBER(B6),ABS(C6-B6)&lt;=0.000001*MAX(1,ABS(B6))),EXACT(C6&amp;"",B6&amp;"")))</f>
      </c>
      <c r="E6">
        <f>ISERROR(C6)</f>
      </c>
    </row>
    <row r="7">
      <c r="A7" t="str">
        <v>F7</v>
      </c>
      <c r="B7">
        <v>35.3</v>
      </c>
      <c r="C7">
        <f>'yduoc'!F7</f>
      </c>
      <c r="D7">
        <f>IF(ISERROR(C7),LEFT(B7&amp;"",1)="#",IF(ISNUMBER(C7),AND(ISNUMBER(B7),ABS(C7-B7)&lt;=0.000001*MAX(1,ABS(B7))),EXACT(C7&amp;"",B7&amp;"")))</f>
      </c>
      <c r="E7">
        <f>ISERROR(C7)</f>
      </c>
    </row>
    <row r="8">
      <c r="A8" t="str">
        <v>F8</v>
      </c>
      <c r="B8">
        <v>18.6</v>
      </c>
      <c r="C8">
        <f>'yduoc'!F8</f>
      </c>
      <c r="D8">
        <f>IF(ISERROR(C8),LEFT(B8&amp;"",1)="#",IF(ISNUMBER(C8),AND(ISNUMBER(B8),ABS(C8-B8)&lt;=0.000001*MAX(1,ABS(B8))),EXACT(C8&amp;"",B8&amp;"")))</f>
      </c>
      <c r="E8">
        <f>ISERROR(C8)</f>
      </c>
    </row>
    <row r="9">
      <c r="A9" t="str">
        <v>F9</v>
      </c>
      <c r="B9">
        <v>19.5</v>
      </c>
      <c r="C9">
        <f>'yduoc'!F9</f>
      </c>
      <c r="D9">
        <f>IF(ISERROR(C9),LEFT(B9&amp;"",1)="#",IF(ISNUMBER(C9),AND(ISNUMBER(B9),ABS(C9-B9)&lt;=0.000001*MAX(1,ABS(B9))),EXACT(C9&amp;"",B9&amp;"")))</f>
      </c>
      <c r="E9">
        <f>ISERROR(C9)</f>
      </c>
    </row>
    <row r="10">
      <c r="A10" t="str">
        <v>F10</v>
      </c>
      <c r="B10">
        <v>31.4</v>
      </c>
      <c r="C10">
        <f>'yduoc'!F10</f>
      </c>
      <c r="D10">
        <f>IF(ISERROR(C10),LEFT(B10&amp;"",1)="#",IF(ISNUMBER(C10),AND(ISNUMBER(B10),ABS(C10-B10)&lt;=0.000001*MAX(1,ABS(B10))),EXACT(C10&amp;"",B10&amp;"")))</f>
      </c>
      <c r="E10">
        <f>ISERROR(C10)</f>
      </c>
    </row>
    <row r="11">
      <c r="A11" t="str">
        <v>F11</v>
      </c>
      <c r="B11">
        <v>28.7</v>
      </c>
      <c r="C11">
        <f>'yduoc'!F11</f>
      </c>
      <c r="D11">
        <f>IF(ISERROR(C11),LEFT(B11&amp;"",1)="#",IF(ISNUMBER(C11),AND(ISNUMBER(B11),ABS(C11-B11)&lt;=0.000001*MAX(1,ABS(B11))),EXACT(C11&amp;"",B11&amp;"")))</f>
      </c>
      <c r="E11">
        <f>ISERROR(C11)</f>
      </c>
    </row>
    <row r="12">
      <c r="A12" t="str">
        <v>F12</v>
      </c>
      <c r="B12">
        <v>19.3</v>
      </c>
      <c r="C12">
        <f>'yduoc'!F12</f>
      </c>
      <c r="D12">
        <f>IF(ISERROR(C12),LEFT(B12&amp;"",1)="#",IF(ISNUMBER(C12),AND(ISNUMBER(B12),ABS(C12-B12)&lt;=0.000001*MAX(1,ABS(B12))),EXACT(C12&amp;"",B12&amp;"")))</f>
      </c>
      <c r="E12">
        <f>ISERROR(C12)</f>
      </c>
    </row>
    <row r="13">
      <c r="A13" t="str">
        <v>F13</v>
      </c>
      <c r="B13">
        <v>30.8</v>
      </c>
      <c r="C13">
        <f>'yduoc'!F13</f>
      </c>
      <c r="D13">
        <f>IF(ISERROR(C13),LEFT(B13&amp;"",1)="#",IF(ISNUMBER(C13),AND(ISNUMBER(B13),ABS(C13-B13)&lt;=0.000001*MAX(1,ABS(B13))),EXACT(C13&amp;"",B13&amp;"")))</f>
      </c>
      <c r="E13">
        <f>ISERROR(C13)</f>
      </c>
    </row>
    <row r="14">
      <c r="A14" t="str">
        <v>G2</v>
      </c>
      <c r="B14" t="str">
        <v>BEO PHI</v>
      </c>
      <c r="C14">
        <f>'yduoc'!G2</f>
      </c>
      <c r="D14">
        <f>IF(ISERROR(C14),LEFT(B14&amp;"",1)="#",IF(ISNUMBER(C14),AND(ISNUMBER(B14),ABS(C14-B14)&lt;=0.000001*MAX(1,ABS(B14))),EXACT(C14&amp;"",B14&amp;"")))</f>
      </c>
      <c r="E14">
        <f>ISERROR(C14)</f>
      </c>
    </row>
    <row r="15">
      <c r="A15" t="str">
        <v>G3</v>
      </c>
      <c r="B15" t="str">
        <v>GAY</v>
      </c>
      <c r="C15">
        <f>'yduoc'!G3</f>
      </c>
      <c r="D15">
        <f>IF(ISERROR(C15),LEFT(B15&amp;"",1)="#",IF(ISNUMBER(C15),AND(ISNUMBER(B15),ABS(C15-B15)&lt;=0.000001*MAX(1,ABS(B15))),EXACT(C15&amp;"",B15&amp;"")))</f>
      </c>
      <c r="E15">
        <f>ISERROR(C15)</f>
      </c>
    </row>
    <row r="16">
      <c r="A16" t="str">
        <v>G4</v>
      </c>
      <c r="B16" t="str">
        <v>GAY</v>
      </c>
      <c r="C16">
        <f>'yduoc'!G4</f>
      </c>
      <c r="D16">
        <f>IF(ISERROR(C16),LEFT(B16&amp;"",1)="#",IF(ISNUMBER(C16),AND(ISNUMBER(B16),ABS(C16-B16)&lt;=0.000001*MAX(1,ABS(B16))),EXACT(C16&amp;"",B16&amp;"")))</f>
      </c>
      <c r="E16">
        <f>ISERROR(C16)</f>
      </c>
    </row>
    <row r="17">
      <c r="A17" t="str">
        <v>G5</v>
      </c>
      <c r="B17" t="str">
        <v>BEO PHI</v>
      </c>
      <c r="C17">
        <f>'yduoc'!G5</f>
      </c>
      <c r="D17">
        <f>IF(ISERROR(C17),LEFT(B17&amp;"",1)="#",IF(ISNUMBER(C17),AND(ISNUMBER(B17),ABS(C17-B17)&lt;=0.000001*MAX(1,ABS(B17))),EXACT(C17&amp;"",B17&amp;"")))</f>
      </c>
      <c r="E17">
        <f>ISERROR(C17)</f>
      </c>
    </row>
    <row r="18">
      <c r="A18" t="str">
        <v>G6</v>
      </c>
      <c r="B18" t="str">
        <v>BEO PHI</v>
      </c>
      <c r="C18">
        <f>'yduoc'!G6</f>
      </c>
      <c r="D18">
        <f>IF(ISERROR(C18),LEFT(B18&amp;"",1)="#",IF(ISNUMBER(C18),AND(ISNUMBER(B18),ABS(C18-B18)&lt;=0.000001*MAX(1,ABS(B18))),EXACT(C18&amp;"",B18&amp;"")))</f>
      </c>
      <c r="E18">
        <f>ISERROR(C18)</f>
      </c>
    </row>
    <row r="19">
      <c r="A19" t="str">
        <v>G7</v>
      </c>
      <c r="B19" t="str">
        <v>BEO PHI</v>
      </c>
      <c r="C19">
        <f>'yduoc'!G7</f>
      </c>
      <c r="D19">
        <f>IF(ISERROR(C19),LEFT(B19&amp;"",1)="#",IF(ISNUMBER(C19),AND(ISNUMBER(B19),ABS(C19-B19)&lt;=0.000001*MAX(1,ABS(B19))),EXACT(C19&amp;"",B19&amp;"")))</f>
      </c>
      <c r="E19">
        <f>ISERROR(C19)</f>
      </c>
    </row>
    <row r="20">
      <c r="A20" t="str">
        <v>G8</v>
      </c>
      <c r="B20" t="str">
        <v>BINH THUONG</v>
      </c>
      <c r="C20">
        <f>'yduoc'!G8</f>
      </c>
      <c r="D20">
        <f>IF(ISERROR(C20),LEFT(B20&amp;"",1)="#",IF(ISNUMBER(C20),AND(ISNUMBER(B20),ABS(C20-B20)&lt;=0.000001*MAX(1,ABS(B20))),EXACT(C20&amp;"",B20&amp;"")))</f>
      </c>
      <c r="E20">
        <f>ISERROR(C20)</f>
      </c>
    </row>
    <row r="21">
      <c r="A21" t="str">
        <v>G9</v>
      </c>
      <c r="B21" t="str">
        <v>BINH THUONG</v>
      </c>
      <c r="C21">
        <f>'yduoc'!G9</f>
      </c>
      <c r="D21">
        <f>IF(ISERROR(C21),LEFT(B21&amp;"",1)="#",IF(ISNUMBER(C21),AND(ISNUMBER(B21),ABS(C21-B21)&lt;=0.000001*MAX(1,ABS(B21))),EXACT(C21&amp;"",B21&amp;"")))</f>
      </c>
      <c r="E21">
        <f>ISERROR(C21)</f>
      </c>
    </row>
    <row r="22">
      <c r="A22" t="str">
        <v>G10</v>
      </c>
      <c r="B22" t="str">
        <v>BEO PHI</v>
      </c>
      <c r="C22">
        <f>'yduoc'!G10</f>
      </c>
      <c r="D22">
        <f>IF(ISERROR(C22),LEFT(B22&amp;"",1)="#",IF(ISNUMBER(C22),AND(ISNUMBER(B22),ABS(C22-B22)&lt;=0.000001*MAX(1,ABS(B22))),EXACT(C22&amp;"",B22&amp;"")))</f>
      </c>
      <c r="E22">
        <f>ISERROR(C22)</f>
      </c>
    </row>
    <row r="23">
      <c r="A23" t="str">
        <v>G11</v>
      </c>
      <c r="B23" t="str">
        <v>BEO PHI</v>
      </c>
      <c r="C23">
        <f>'yduoc'!G11</f>
      </c>
      <c r="D23">
        <f>IF(ISERROR(C23),LEFT(B23&amp;"",1)="#",IF(ISNUMBER(C23),AND(ISNUMBER(B23),ABS(C23-B23)&lt;=0.000001*MAX(1,ABS(B23))),EXACT(C23&amp;"",B23&amp;"")))</f>
      </c>
      <c r="E23">
        <f>ISERROR(C23)</f>
      </c>
    </row>
    <row r="24">
      <c r="A24" t="str">
        <v>G12</v>
      </c>
      <c r="B24" t="str">
        <v>BINH THUONG</v>
      </c>
      <c r="C24">
        <f>'yduoc'!G12</f>
      </c>
      <c r="D24">
        <f>IF(ISERROR(C24),LEFT(B24&amp;"",1)="#",IF(ISNUMBER(C24),AND(ISNUMBER(B24),ABS(C24-B24)&lt;=0.000001*MAX(1,ABS(B24))),EXACT(C24&amp;"",B24&amp;"")))</f>
      </c>
      <c r="E24">
        <f>ISERROR(C24)</f>
      </c>
    </row>
    <row r="25">
      <c r="A25" t="str">
        <v>G13</v>
      </c>
      <c r="B25" t="str">
        <v>BEO PHI</v>
      </c>
      <c r="C25">
        <f>'yduoc'!G13</f>
      </c>
      <c r="D25">
        <f>IF(ISERROR(C25),LEFT(B25&amp;"",1)="#",IF(ISNUMBER(C25),AND(ISNUMBER(B25),ABS(C25-B25)&lt;=0.000001*MAX(1,ABS(B25))),EXACT(C25&amp;"",B25&amp;"")))</f>
      </c>
      <c r="E25">
        <f>ISERROR(C25)</f>
      </c>
    </row>
    <row r="26">
      <c r="A26" t="str">
        <v>H2</v>
      </c>
      <c r="B26">
        <v>770</v>
      </c>
      <c r="C26">
        <f>'yduoc'!H2</f>
      </c>
      <c r="D26">
        <f>IF(ISERROR(C26),LEFT(B26&amp;"",1)="#",IF(ISNUMBER(C26),AND(ISNUMBER(B26),ABS(C26-B26)&lt;=0.000001*MAX(1,ABS(B26))),EXACT(C26&amp;"",B26&amp;"")))</f>
      </c>
      <c r="E26">
        <f>ISERROR(C26)</f>
      </c>
    </row>
    <row r="27">
      <c r="A27" t="str">
        <v>H3</v>
      </c>
      <c r="B27">
        <v>840</v>
      </c>
      <c r="C27">
        <f>'yduoc'!H3</f>
      </c>
      <c r="D27">
        <f>IF(ISERROR(C27),LEFT(B27&amp;"",1)="#",IF(ISNUMBER(C27),AND(ISNUMBER(B27),ABS(C27-B27)&lt;=0.000001*MAX(1,ABS(B27))),EXACT(C27&amp;"",B27&amp;"")))</f>
      </c>
      <c r="E27">
        <f>ISERROR(C27)</f>
      </c>
    </row>
    <row r="28">
      <c r="A28" t="str">
        <v>H4</v>
      </c>
      <c r="B28">
        <v>400</v>
      </c>
      <c r="C28">
        <f>'yduoc'!H4</f>
      </c>
      <c r="D28">
        <f>IF(ISERROR(C28),LEFT(B28&amp;"",1)="#",IF(ISNUMBER(C28),AND(ISNUMBER(B28),ABS(C28-B28)&lt;=0.000001*MAX(1,ABS(B28))),EXACT(C28&amp;"",B28&amp;"")))</f>
      </c>
      <c r="E28">
        <f>ISERROR(C28)</f>
      </c>
    </row>
    <row r="29">
      <c r="A29" t="str">
        <v>H5</v>
      </c>
      <c r="B29">
        <v>750</v>
      </c>
      <c r="C29">
        <f>'yduoc'!H5</f>
      </c>
      <c r="D29">
        <f>IF(ISERROR(C29),LEFT(B29&amp;"",1)="#",IF(ISNUMBER(C29),AND(ISNUMBER(B29),ABS(C29-B29)&lt;=0.000001*MAX(1,ABS(B29))),EXACT(C29&amp;"",B29&amp;"")))</f>
      </c>
      <c r="E29">
        <f>ISERROR(C29)</f>
      </c>
    </row>
    <row r="30">
      <c r="A30" t="str">
        <v>H6</v>
      </c>
      <c r="B30">
        <v>410</v>
      </c>
      <c r="C30">
        <f>'yduoc'!H6</f>
      </c>
      <c r="D30">
        <f>IF(ISERROR(C30),LEFT(B30&amp;"",1)="#",IF(ISNUMBER(C30),AND(ISNUMBER(B30),ABS(C30-B30)&lt;=0.000001*MAX(1,ABS(B30))),EXACT(C30&amp;"",B30&amp;"")))</f>
      </c>
      <c r="E30">
        <f>ISERROR(C30)</f>
      </c>
    </row>
    <row r="31">
      <c r="A31" t="str">
        <v>H7</v>
      </c>
      <c r="B31">
        <v>1760</v>
      </c>
      <c r="C31">
        <f>'yduoc'!H7</f>
      </c>
      <c r="D31">
        <f>IF(ISERROR(C31),LEFT(B31&amp;"",1)="#",IF(ISNUMBER(C31),AND(ISNUMBER(B31),ABS(C31-B31)&lt;=0.000001*MAX(1,ABS(B31))),EXACT(C31&amp;"",B31&amp;"")))</f>
      </c>
      <c r="E31">
        <f>ISERROR(C31)</f>
      </c>
    </row>
    <row r="32">
      <c r="A32" t="str">
        <v>H8</v>
      </c>
      <c r="B32">
        <v>520</v>
      </c>
      <c r="C32">
        <f>'yduoc'!H8</f>
      </c>
      <c r="D32">
        <f>IF(ISERROR(C32),LEFT(B32&amp;"",1)="#",IF(ISNUMBER(C32),AND(ISNUMBER(B32),ABS(C32-B32)&lt;=0.000001*MAX(1,ABS(B32))),EXACT(C32&amp;"",B32&amp;"")))</f>
      </c>
      <c r="E32">
        <f>ISERROR(C32)</f>
      </c>
    </row>
    <row r="33">
      <c r="A33" t="str">
        <v>H9</v>
      </c>
      <c r="B33">
        <v>480</v>
      </c>
      <c r="C33">
        <f>'yduoc'!H9</f>
      </c>
      <c r="D33">
        <f>IF(ISERROR(C33),LEFT(B33&amp;"",1)="#",IF(ISNUMBER(C33),AND(ISNUMBER(B33),ABS(C33-B33)&lt;=0.000001*MAX(1,ABS(B33))),EXACT(C33&amp;"",B33&amp;"")))</f>
      </c>
      <c r="E33">
        <f>ISERROR(C33)</f>
      </c>
    </row>
    <row r="34">
      <c r="A34" t="str">
        <v>H10</v>
      </c>
      <c r="B34">
        <v>1900</v>
      </c>
      <c r="C34">
        <f>'yduoc'!H10</f>
      </c>
      <c r="D34">
        <f>IF(ISERROR(C34),LEFT(B34&amp;"",1)="#",IF(ISNUMBER(C34),AND(ISNUMBER(B34),ABS(C34-B34)&lt;=0.000001*MAX(1,ABS(B34))),EXACT(C34&amp;"",B34&amp;"")))</f>
      </c>
      <c r="E34">
        <f>ISERROR(C34)</f>
      </c>
    </row>
    <row r="35">
      <c r="A35" t="str">
        <v>H11</v>
      </c>
      <c r="B35">
        <v>910</v>
      </c>
      <c r="C35">
        <f>'yduoc'!H11</f>
      </c>
      <c r="D35">
        <f>IF(ISERROR(C35),LEFT(B35&amp;"",1)="#",IF(ISNUMBER(C35),AND(ISNUMBER(B35),ABS(C35-B35)&lt;=0.000001*MAX(1,ABS(B35))),EXACT(C35&amp;"",B35&amp;"")))</f>
      </c>
      <c r="E35">
        <f>ISERROR(C35)</f>
      </c>
    </row>
    <row r="36">
      <c r="A36" t="str">
        <v>H12</v>
      </c>
      <c r="B36">
        <v>520</v>
      </c>
      <c r="C36">
        <f>'yduoc'!H12</f>
      </c>
      <c r="D36">
        <f>IF(ISERROR(C36),LEFT(B36&amp;"",1)="#",IF(ISNUMBER(C36),AND(ISNUMBER(B36),ABS(C36-B36)&lt;=0.000001*MAX(1,ABS(B36))),EXACT(C36&amp;"",B36&amp;"")))</f>
      </c>
      <c r="E36">
        <f>ISERROR(C36)</f>
      </c>
    </row>
    <row r="37">
      <c r="A37" t="str">
        <v>H13</v>
      </c>
      <c r="B37">
        <v>1480</v>
      </c>
      <c r="C37">
        <f>'yduoc'!H13</f>
      </c>
      <c r="D37">
        <f>IF(ISERROR(C37),LEFT(B37&amp;"",1)="#",IF(ISNUMBER(C37),AND(ISNUMBER(B37),ABS(C37-B37)&lt;=0.000001*MAX(1,ABS(B37))),EXACT(C37&amp;"",B37&amp;"")))</f>
      </c>
      <c r="E37">
        <f>ISERROR(C37)</f>
      </c>
    </row>
    <row r="38">
      <c r="A38" t="str">
        <v>I2</v>
      </c>
      <c r="B38">
        <v>4</v>
      </c>
      <c r="C38">
        <f>'yduoc'!I2</f>
      </c>
      <c r="D38">
        <f>IF(ISERROR(C38),LEFT(B38&amp;"",1)="#",IF(ISNUMBER(C38),AND(ISNUMBER(B38),ABS(C38-B38)&lt;=0.000001*MAX(1,ABS(B38))),EXACT(C38&amp;"",B38&amp;"")))</f>
      </c>
      <c r="E38">
        <f>ISERROR(C38)</f>
      </c>
    </row>
    <row r="39">
      <c r="A39" t="str">
        <v>I3</v>
      </c>
      <c r="B39">
        <v>4</v>
      </c>
      <c r="C39">
        <f>'yduoc'!I3</f>
      </c>
      <c r="D39">
        <f>IF(ISERROR(C39),LEFT(B39&amp;"",1)="#",IF(ISNUMBER(C39),AND(ISNUMBER(B39),ABS(C39-B39)&lt;=0.000001*MAX(1,ABS(B39))),EXACT(C39&amp;"",B39&amp;"")))</f>
      </c>
      <c r="E39">
        <f>ISERROR(C39)</f>
      </c>
    </row>
    <row r="40">
      <c r="A40" t="str">
        <v>I4</v>
      </c>
      <c r="B40">
        <v>2</v>
      </c>
      <c r="C40">
        <f>'yduoc'!I4</f>
      </c>
      <c r="D40">
        <f>IF(ISERROR(C40),LEFT(B40&amp;"",1)="#",IF(ISNUMBER(C40),AND(ISNUMBER(B40),ABS(C40-B40)&lt;=0.000001*MAX(1,ABS(B40))),EXACT(C40&amp;"",B40&amp;"")))</f>
      </c>
      <c r="E40">
        <f>ISERROR(C40)</f>
      </c>
    </row>
    <row r="41">
      <c r="A41" t="str">
        <v>I5</v>
      </c>
      <c r="B41">
        <v>3</v>
      </c>
      <c r="C41">
        <f>'yduoc'!I5</f>
      </c>
      <c r="D41">
        <f>IF(ISERROR(C41),LEFT(B41&amp;"",1)="#",IF(ISNUMBER(C41),AND(ISNUMBER(B41),ABS(C41-B41)&lt;=0.000001*MAX(1,ABS(B41))),EXACT(C41&amp;"",B41&amp;"")))</f>
      </c>
      <c r="E41">
        <f>ISERROR(C41)</f>
      </c>
    </row>
    <row r="42">
      <c r="A42" t="str">
        <v>I6</v>
      </c>
      <c r="B42">
        <v>2</v>
      </c>
      <c r="C42">
        <f>'yduoc'!I6</f>
      </c>
      <c r="D42">
        <f>IF(ISERROR(C42),LEFT(B42&amp;"",1)="#",IF(ISNUMBER(C42),AND(ISNUMBER(B42),ABS(C42-B42)&lt;=0.000001*MAX(1,ABS(B42))),EXACT(C42&amp;"",B42&amp;"")))</f>
      </c>
      <c r="E42">
        <f>ISERROR(C42)</f>
      </c>
    </row>
    <row r="43">
      <c r="A43" t="str">
        <v>I7</v>
      </c>
      <c r="B43">
        <v>8</v>
      </c>
      <c r="C43">
        <f>'yduoc'!I7</f>
      </c>
      <c r="D43">
        <f>IF(ISERROR(C43),LEFT(B43&amp;"",1)="#",IF(ISNUMBER(C43),AND(ISNUMBER(B43),ABS(C43-B43)&lt;=0.000001*MAX(1,ABS(B43))),EXACT(C43&amp;"",B43&amp;"")))</f>
      </c>
      <c r="E43">
        <f>ISERROR(C43)</f>
      </c>
    </row>
    <row r="44">
      <c r="A44" t="str">
        <v>I8</v>
      </c>
      <c r="B44">
        <v>3</v>
      </c>
      <c r="C44">
        <f>'yduoc'!I8</f>
      </c>
      <c r="D44">
        <f>IF(ISERROR(C44),LEFT(B44&amp;"",1)="#",IF(ISNUMBER(C44),AND(ISNUMBER(B44),ABS(C44-B44)&lt;=0.000001*MAX(1,ABS(B44))),EXACT(C44&amp;"",B44&amp;"")))</f>
      </c>
      <c r="E44">
        <f>ISERROR(C44)</f>
      </c>
    </row>
    <row r="45">
      <c r="A45" t="str">
        <v>I9</v>
      </c>
      <c r="B45">
        <v>2</v>
      </c>
      <c r="C45">
        <f>'yduoc'!I9</f>
      </c>
      <c r="D45">
        <f>IF(ISERROR(C45),LEFT(B45&amp;"",1)="#",IF(ISNUMBER(C45),AND(ISNUMBER(B45),ABS(C45-B45)&lt;=0.000001*MAX(1,ABS(B45))),EXACT(C45&amp;"",B45&amp;"")))</f>
      </c>
      <c r="E45">
        <f>ISERROR(C45)</f>
      </c>
    </row>
    <row r="46">
      <c r="A46" t="str">
        <v>I10</v>
      </c>
      <c r="B46">
        <v>8</v>
      </c>
      <c r="C46">
        <f>'yduoc'!I10</f>
      </c>
      <c r="D46">
        <f>IF(ISERROR(C46),LEFT(B46&amp;"",1)="#",IF(ISNUMBER(C46),AND(ISNUMBER(B46),ABS(C46-B46)&lt;=0.000001*MAX(1,ABS(B46))),EXACT(C46&amp;"",B46&amp;"")))</f>
      </c>
      <c r="E46">
        <f>ISERROR(C46)</f>
      </c>
    </row>
    <row r="47">
      <c r="A47" t="str">
        <v>I11</v>
      </c>
      <c r="B47">
        <v>4</v>
      </c>
      <c r="C47">
        <f>'yduoc'!I11</f>
      </c>
      <c r="D47">
        <f>IF(ISERROR(C47),LEFT(B47&amp;"",1)="#",IF(ISNUMBER(C47),AND(ISNUMBER(B47),ABS(C47-B47)&lt;=0.000001*MAX(1,ABS(B47))),EXACT(C47&amp;"",B47&amp;"")))</f>
      </c>
      <c r="E47">
        <f>ISERROR(C47)</f>
      </c>
    </row>
    <row r="48">
      <c r="A48" t="str">
        <v>I12</v>
      </c>
      <c r="B48">
        <v>3</v>
      </c>
      <c r="C48">
        <f>'yduoc'!I12</f>
      </c>
      <c r="D48">
        <f>IF(ISERROR(C48),LEFT(B48&amp;"",1)="#",IF(ISNUMBER(C48),AND(ISNUMBER(B48),ABS(C48-B48)&lt;=0.000001*MAX(1,ABS(B48))),EXACT(C48&amp;"",B48&amp;"")))</f>
      </c>
      <c r="E48">
        <f>ISERROR(C48)</f>
      </c>
    </row>
    <row r="49">
      <c r="A49" t="str">
        <v>I13</v>
      </c>
      <c r="B49">
        <v>6</v>
      </c>
      <c r="C49">
        <f>'yduoc'!I13</f>
      </c>
      <c r="D49">
        <f>IF(ISERROR(C49),LEFT(B49&amp;"",1)="#",IF(ISNUMBER(C49),AND(ISNUMBER(B49),ABS(C49-B49)&lt;=0.000001*MAX(1,ABS(B49))),EXACT(C49&amp;"",B49&amp;"")))</f>
      </c>
      <c r="E49">
        <f>ISERROR(C49)</f>
      </c>
    </row>
    <row r="50">
      <c r="A50" t="str">
        <v>Z2</v>
      </c>
      <c r="B50" t="str">
        <v>BN006</v>
      </c>
      <c r="C50">
        <f>'yduoc'!Z2</f>
      </c>
      <c r="D50">
        <f>IF(ISERROR(C50),LEFT(B50&amp;"",1)="#",IF(ISNUMBER(C50),AND(ISNUMBER(B50),ABS(C50-B50)&lt;=0.000001*MAX(1,ABS(B50))),EXACT(C50&amp;"",B50&amp;"")))</f>
      </c>
      <c r="E50">
        <f>ISERROR(C50)</f>
      </c>
    </row>
    <row r="51">
      <c r="A51" t="str">
        <v>Z3</v>
      </c>
      <c r="B51">
        <v>2250</v>
      </c>
      <c r="C51">
        <f>'yduoc'!Z3</f>
      </c>
      <c r="D51">
        <f>IF(ISERROR(C51),LEFT(B51&amp;"",1)="#",IF(ISNUMBER(C51),AND(ISNUMBER(B51),ABS(C51-B51)&lt;=0.000001*MAX(1,ABS(B51))),EXACT(C51&amp;"",B51&amp;"")))</f>
      </c>
      <c r="E51">
        <f>ISERROR(C51)</f>
      </c>
    </row>
    <row r="52">
      <c r="A52" t="str">
        <v>Z4</v>
      </c>
      <c r="B52">
        <v>0</v>
      </c>
      <c r="C52">
        <f>'yduoc'!Z4</f>
      </c>
      <c r="D52">
        <f>IF(ISERROR(C52),LEFT(B52&amp;"",1)="#",IF(ISNUMBER(C52),AND(ISNUMBER(B52),ABS(C52-B52)&lt;=0.000001*MAX(1,ABS(B52))),EXACT(C52&amp;"",B52&amp;"")))</f>
      </c>
      <c r="E52">
        <f>ISERROR(C52)</f>
      </c>
    </row>
    <row r="53">
      <c r="A53" t="str">
        <v>Z5</v>
      </c>
      <c r="B53">
        <v>25.0125</v>
      </c>
      <c r="C53">
        <f>'yduoc'!Z5</f>
      </c>
      <c r="D53">
        <f>IF(ISERROR(C53),LEFT(B53&amp;"",1)="#",IF(ISNUMBER(C53),AND(ISNUMBER(B53),ABS(C53-B53)&lt;=0.000001*MAX(1,ABS(B53))),EXACT(C53&amp;"",B53&amp;"")))</f>
      </c>
      <c r="E53">
        <f>ISERROR(C53)</f>
      </c>
    </row>
    <row r="54">
      <c r="A54" t="str">
        <v>Z6</v>
      </c>
      <c r="B54">
        <v>6</v>
      </c>
      <c r="C54">
        <f>'yduoc'!Z6</f>
      </c>
      <c r="D54">
        <f>IF(ISERROR(C54),LEFT(B54&amp;"",1)="#",IF(ISNUMBER(C54),AND(ISNUMBER(B54),ABS(C54-B54)&lt;=0.000001*MAX(1,ABS(B54))),EXACT(C54&amp;"",B54&amp;"")))</f>
      </c>
      <c r="E54">
        <f>ISERROR(C54)</f>
      </c>
    </row>
    <row r="55">
      <c r="A55" t="str">
        <v>Z7</v>
      </c>
      <c r="B55">
        <v>26.8</v>
      </c>
      <c r="C55">
        <f>'yduoc'!Z7</f>
      </c>
      <c r="D55">
        <f>IF(ISERROR(C55),LEFT(B55&amp;"",1)="#",IF(ISNUMBER(C55),AND(ISNUMBER(B55),ABS(C55-B55)&lt;=0.000001*MAX(1,ABS(B55))),EXACT(C55&amp;"",B55&amp;"")))</f>
      </c>
      <c r="E55">
        <f>ISERROR(C55)</f>
      </c>
    </row>
    <row r="56">
      <c r="A56" t="str">
        <v>Z8</v>
      </c>
      <c r="B56">
        <v>31.4</v>
      </c>
      <c r="C56">
        <f>'yduoc'!Z8</f>
      </c>
      <c r="D56">
        <f>IF(ISERROR(C56),LEFT(B56&amp;"",1)="#",IF(ISNUMBER(C56),AND(ISNUMBER(B56),ABS(C56-B56)&lt;=0.000001*MAX(1,ABS(B56))),EXACT(C56&amp;"",B56&amp;"")))</f>
      </c>
      <c r="E56">
        <f>ISERROR(C56)</f>
      </c>
    </row>
    <row r="57">
      <c r="A57" t="str">
        <v>Z9</v>
      </c>
      <c r="B57">
        <v>7.07</v>
      </c>
      <c r="C57">
        <f>'yduoc'!Z9</f>
      </c>
      <c r="D57">
        <f>IF(ISERROR(C57),LEFT(B57&amp;"",1)="#",IF(ISNUMBER(C57),AND(ISNUMBER(B57),ABS(C57-B57)&lt;=0.000001*MAX(1,ABS(B57))),EXACT(C57&amp;"",B57&amp;"")))</f>
      </c>
      <c r="E57">
        <f>ISERROR(C57)</f>
      </c>
    </row>
    <row r="58">
      <c r="A58" t="str">
        <v>Z10</v>
      </c>
      <c r="B58">
        <v>2250</v>
      </c>
      <c r="C58">
        <f>'yduoc'!Z10</f>
      </c>
      <c r="D58">
        <f>IF(ISERROR(C58),LEFT(B58&amp;"",1)="#",IF(ISNUMBER(C58),AND(ISNUMBER(B58),ABS(C58-B58)&lt;=0.000001*MAX(1,ABS(B58))),EXACT(C58&amp;"",B58&amp;"")))</f>
      </c>
      <c r="E58">
        <f>ISERROR(C58)</f>
      </c>
    </row>
    <row r="59">
      <c r="A59" t="str">
        <v>Z11</v>
      </c>
      <c r="B59">
        <v>2</v>
      </c>
      <c r="C59">
        <f>'yduoc'!Z11</f>
      </c>
      <c r="D59">
        <f>IF(ISERROR(C59),LEFT(B59&amp;"",1)="#",IF(ISNUMBER(C59),AND(ISNUMBER(B59),ABS(C59-B59)&lt;=0.000001*MAX(1,ABS(B59))),EXACT(C59&amp;"",B59&amp;"")))</f>
      </c>
      <c r="E59">
        <f>ISERROR(C59)</f>
      </c>
    </row>
    <row r="60">
      <c r="A60" t="str">
        <v>Z12</v>
      </c>
      <c r="B60">
        <v>2250</v>
      </c>
      <c r="C60">
        <f>'yduoc'!Z12</f>
      </c>
      <c r="D60">
        <f>IF(ISERROR(C60),LEFT(B60&amp;"",1)="#",IF(ISNUMBER(C60),AND(ISNUMBER(B60),ABS(C60-B60)&lt;=0.000001*MAX(1,ABS(B60))),EXACT(C60&amp;"",B60&amp;"")))</f>
      </c>
      <c r="E60">
        <f>ISERROR(C60)</f>
      </c>
    </row>
    <row r="61">
      <c r="A61" t="str">
        <v>Z13</v>
      </c>
      <c r="B61">
        <v>10740</v>
      </c>
      <c r="C61">
        <f>'yduoc'!Z13</f>
      </c>
      <c r="D61">
        <f>IF(ISERROR(C61),LEFT(B61&amp;"",1)="#",IF(ISNUMBER(C61),AND(ISNUMBER(B61),ABS(C61-B61)&lt;=0.000001*MAX(1,ABS(B61))),EXACT(C61&amp;"",B61&amp;"")))</f>
      </c>
      <c r="E61">
        <f>ISERROR(C61)</f>
      </c>
    </row>
  </sheetData>
  <ignoredErrors>
    <ignoredError numberStoredAsText="1" sqref="A1:E61"/>
  </ignoredErrors>
</worksheet>
</file>

<file path=xl/worksheets/sheet90.xml><?xml version="1.0" encoding="utf-8"?>
<worksheet xmlns="http://schemas.openxmlformats.org/spreadsheetml/2006/main" xmlns:r="http://schemas.openxmlformats.org/officeDocument/2006/relationships">
  <dimension ref="A1:U11"/>
  <sheetViews>
    <sheetView workbookViewId="0" rightToLeft="0"/>
  </sheetViews>
  <sheetData>
    <row r="1">
      <c r="A1" t="str">
        <v>Ma</v>
      </c>
      <c r="B1" t="str">
        <v>Ten</v>
      </c>
      <c r="C1" t="str">
        <v>Loai</v>
      </c>
      <c r="D1" t="str">
        <v>DonGia</v>
      </c>
      <c r="E1" t="str">
        <v>SoLuong</v>
      </c>
      <c r="F1" t="str">
        <v>NgayNhap</v>
      </c>
      <c r="G1" t="str">
        <v>TenChuan</v>
      </c>
      <c r="H1" t="str">
        <v>TenLoai</v>
      </c>
      <c r="I1" t="str">
        <v>NgayTon</v>
      </c>
      <c r="J1" t="str">
        <v>ThanhTien</v>
      </c>
      <c r="K1" t="str">
        <v>PhanLoai</v>
      </c>
      <c r="N1" t="str">
        <v>MaLoai</v>
      </c>
      <c r="O1" t="str">
        <v>TenLoai</v>
      </c>
      <c r="P1" t="str">
        <v>NgayCham</v>
      </c>
      <c r="Q1">
        <v>46320</v>
      </c>
      <c r="S1" t="str">
        <v>Loai</v>
      </c>
      <c r="T1" t="str">
        <v>TongHop</v>
      </c>
      <c r="U1" t="str">
        <v>KetQua</v>
      </c>
    </row>
    <row r="2">
      <c r="A2" t="str">
        <v>SP09</v>
      </c>
      <c r="B2" t="str">
        <v>BINH MUC IN</v>
      </c>
      <c r="C2" t="str">
        <v>TB</v>
      </c>
      <c r="D2">
        <v>17000</v>
      </c>
      <c r="E2">
        <v>9</v>
      </c>
      <c r="F2">
        <v>46279</v>
      </c>
      <c r="G2" t="str">
        <f>PROPER(TRIM(B2))</f>
        <v>Binh Muc In</v>
      </c>
      <c r="H2" t="str">
        <f>VLOOKUP(C2,$N$2:$O$4,2,FALSE)</f>
        <v>Thiet bi nho</v>
      </c>
      <c r="I2">
        <f>$Q$1-F2</f>
        <v>41</v>
      </c>
      <c r="J2">
        <f>ROUND(IF(E2&gt;=10,D2*E2*0.9,D2*E2),0)</f>
        <v>153000</v>
      </c>
      <c r="K2" t="str">
        <f>IF(J2&gt;=150000,"CAO",IF(J2&gt;=60000,"TB","THAP"))</f>
        <v>CAO</v>
      </c>
      <c r="N2" t="str">
        <v>VT</v>
      </c>
      <c r="O2" t="str">
        <v>Van phong pham</v>
      </c>
      <c r="S2" t="str">
        <v>TB</v>
      </c>
      <c r="T2" t="str">
        <v>Ma hang co ThanhTien lon nhat</v>
      </c>
      <c r="U2" t="str">
        <f>INDEX(A2:A11,MATCH(MAX(J2:J11),J2:J11,0))</f>
        <v>SP07</v>
      </c>
    </row>
    <row r="3">
      <c r="A3" t="str">
        <v>SP10</v>
      </c>
      <c r="B3" t="str">
        <v>thuoc ke 20cm</v>
      </c>
      <c r="C3" t="str">
        <v>VT</v>
      </c>
      <c r="D3">
        <v>18500</v>
      </c>
      <c r="E3">
        <v>15</v>
      </c>
      <c r="F3">
        <v>46295</v>
      </c>
      <c r="G3" t="str">
        <f>PROPER(TRIM(B3))</f>
        <v>Thuoc Ke 20Cm</v>
      </c>
      <c r="H3" t="str">
        <f>VLOOKUP(C3,$N$2:$O$4,2,FALSE)</f>
        <v>Van phong pham</v>
      </c>
      <c r="I3">
        <f>$Q$1-F3</f>
        <v>25</v>
      </c>
      <c r="J3">
        <f>ROUND(IF(E3&gt;=10,D3*E3*0.9,D3*E3),0)</f>
        <v>249750</v>
      </c>
      <c r="K3" t="str">
        <f>IF(J3&gt;=150000,"CAO",IF(J3&gt;=60000,"TB","THAP"))</f>
        <v>CAO</v>
      </c>
      <c r="N3" t="str">
        <v>DC</v>
      </c>
      <c r="O3" t="str">
        <v>Dung cu hoc tap</v>
      </c>
      <c r="T3" t="str">
        <v>Tong ThanhTien nhom VT</v>
      </c>
      <c r="U3">
        <f>SUMIF(C2:C11,"VT",J2:J11)</f>
        <v>778050</v>
      </c>
    </row>
    <row r="4">
      <c r="A4" t="str">
        <v>SP05</v>
      </c>
      <c r="B4" t="str">
        <v>gom tay</v>
      </c>
      <c r="C4" t="str">
        <v>DC</v>
      </c>
      <c r="D4">
        <v>11500</v>
      </c>
      <c r="E4">
        <v>9</v>
      </c>
      <c r="F4">
        <v>46305</v>
      </c>
      <c r="G4" t="str">
        <f>PROPER(TRIM(B4))</f>
        <v>Gom Tay</v>
      </c>
      <c r="H4" t="str">
        <f>VLOOKUP(C4,$N$2:$O$4,2,FALSE)</f>
        <v>Dung cu hoc tap</v>
      </c>
      <c r="I4">
        <f>$Q$1-F4</f>
        <v>15</v>
      </c>
      <c r="J4">
        <f>ROUND(IF(E4&gt;=10,D4*E4*0.9,D4*E4),0)</f>
        <v>103500</v>
      </c>
      <c r="K4" t="str">
        <f>IF(J4&gt;=150000,"CAO",IF(J4&gt;=60000,"TB","THAP"))</f>
        <v>TB</v>
      </c>
      <c r="N4" t="str">
        <v>TB</v>
      </c>
      <c r="O4" t="str">
        <v>Thiet bi nho</v>
      </c>
      <c r="T4" t="str">
        <v>So mat hang SoLuong &gt;= 10</v>
      </c>
      <c r="U4">
        <f>COUNTIF(E2:E11,"&gt;=10")</f>
        <v>4</v>
      </c>
    </row>
    <row r="5">
      <c r="A5" t="str">
        <v>SP04</v>
      </c>
      <c r="B5" t="str">
        <v>kep giay 32mm</v>
      </c>
      <c r="C5" t="str">
        <v>DC</v>
      </c>
      <c r="D5">
        <v>5100</v>
      </c>
      <c r="E5">
        <v>13</v>
      </c>
      <c r="F5">
        <v>46287</v>
      </c>
      <c r="G5" t="str">
        <f>PROPER(TRIM(B5))</f>
        <v>Kep Giay 32Mm</v>
      </c>
      <c r="H5" t="str">
        <f>VLOOKUP(C5,$N$2:$O$4,2,FALSE)</f>
        <v>Dung cu hoc tap</v>
      </c>
      <c r="I5">
        <f>$Q$1-F5</f>
        <v>33</v>
      </c>
      <c r="J5">
        <f>ROUND(IF(E5&gt;=10,D5*E5*0.9,D5*E5),0)</f>
        <v>59670</v>
      </c>
      <c r="K5" t="str">
        <f>IF(J5&gt;=150000,"CAO",IF(J5&gt;=60000,"TB","THAP"))</f>
        <v>THAP</v>
      </c>
      <c r="T5" t="str">
        <v>Don gia trung binh nhom DC</v>
      </c>
      <c r="U5">
        <f>AVERAGEIF(C2:C11,"DC",D2:D11)</f>
        <v>6925</v>
      </c>
    </row>
    <row r="6">
      <c r="A6" t="str">
        <v>SP01</v>
      </c>
      <c r="B6" t="str">
        <v>giay a4 70gsm</v>
      </c>
      <c r="C6" t="str">
        <v>VT</v>
      </c>
      <c r="D6">
        <v>23000</v>
      </c>
      <c r="E6">
        <v>9</v>
      </c>
      <c r="F6">
        <v>46280</v>
      </c>
      <c r="G6" t="str">
        <f>PROPER(TRIM(B6))</f>
        <v>Giay A4 70Gsm</v>
      </c>
      <c r="H6" t="str">
        <f>VLOOKUP(C6,$N$2:$O$4,2,FALSE)</f>
        <v>Van phong pham</v>
      </c>
      <c r="I6">
        <f>$Q$1-F6</f>
        <v>40</v>
      </c>
      <c r="J6">
        <f>ROUND(IF(E6&gt;=10,D6*E6*0.9,D6*E6),0)</f>
        <v>207000</v>
      </c>
      <c r="K6" t="str">
        <f>IF(J6&gt;=150000,"CAO",IF(J6&gt;=60000,"TB","THAP"))</f>
        <v>CAO</v>
      </c>
      <c r="T6" t="str">
        <v>Tong ThanhTien nhom DC, SoLuong &lt; 10</v>
      </c>
      <c r="U6">
        <f>SUMIFS(J2:J11,C2:C11,"DC",E2:E11,"&lt;10")</f>
        <v>179000</v>
      </c>
    </row>
    <row r="7">
      <c r="A7" t="str">
        <v>SP06</v>
      </c>
      <c r="B7" t="str">
        <v>bia nhua a4</v>
      </c>
      <c r="C7" t="str">
        <v>VT</v>
      </c>
      <c r="D7">
        <v>17000</v>
      </c>
      <c r="E7">
        <v>21</v>
      </c>
      <c r="F7">
        <v>46289</v>
      </c>
      <c r="G7" t="str">
        <f>PROPER(TRIM(B7))</f>
        <v>Bia Nhua A4</v>
      </c>
      <c r="H7" t="str">
        <f>VLOOKUP(C7,$N$2:$O$4,2,FALSE)</f>
        <v>Van phong pham</v>
      </c>
      <c r="I7">
        <f>$Q$1-F7</f>
        <v>31</v>
      </c>
      <c r="J7">
        <f>ROUND(IF(E7&gt;=10,D7*E7*0.9,D7*E7),0)</f>
        <v>321300</v>
      </c>
      <c r="K7" t="str">
        <f>IF(J7&gt;=150000,"CAO",IF(J7&gt;=60000,"TB","THAP"))</f>
        <v>CAO</v>
      </c>
      <c r="T7" t="str">
        <v>So mat hang nhom VT, SoLuong &gt;= 10</v>
      </c>
      <c r="U7">
        <f>COUNTIFS(C2:C11,"VT",E2:E11,"&gt;=10")</f>
        <v>2</v>
      </c>
    </row>
    <row r="8">
      <c r="A8" t="str">
        <v>SP08</v>
      </c>
      <c r="B8" t="str">
        <v>but da quang</v>
      </c>
      <c r="C8" t="str">
        <v>DC</v>
      </c>
      <c r="D8">
        <v>8900</v>
      </c>
      <c r="E8">
        <v>7</v>
      </c>
      <c r="F8">
        <v>46281</v>
      </c>
      <c r="G8" t="str">
        <f>PROPER(TRIM(B8))</f>
        <v>But Da Quang</v>
      </c>
      <c r="H8" t="str">
        <f>VLOOKUP(C8,$N$2:$O$4,2,FALSE)</f>
        <v>Dung cu hoc tap</v>
      </c>
      <c r="I8">
        <f>$Q$1-F8</f>
        <v>39</v>
      </c>
      <c r="J8">
        <f>ROUND(IF(E8&gt;=10,D8*E8*0.9,D8*E8),0)</f>
        <v>62300</v>
      </c>
      <c r="K8" t="str">
        <f>IF(J8&gt;=150000,"CAO",IF(J8&gt;=60000,"TB","THAP"))</f>
        <v>TB</v>
      </c>
      <c r="T8" t="str">
        <v>Tong SoLuong theo tieu chi S1:S2</v>
      </c>
      <c r="U8">
        <f>DSUM(A1:K11,"SoLuong",S1:S2)</f>
        <v>37</v>
      </c>
    </row>
    <row r="9">
      <c r="A9" t="str">
        <v>SP02</v>
      </c>
      <c r="B9" t="str">
        <v>but bi xanh</v>
      </c>
      <c r="C9" t="str">
        <v>DC</v>
      </c>
      <c r="D9">
        <v>2200</v>
      </c>
      <c r="E9">
        <v>6</v>
      </c>
      <c r="F9">
        <v>46297</v>
      </c>
      <c r="G9" t="str">
        <f>PROPER(TRIM(B9))</f>
        <v>But Bi Xanh</v>
      </c>
      <c r="H9" t="str">
        <f>VLOOKUP(C9,$N$2:$O$4,2,FALSE)</f>
        <v>Dung cu hoc tap</v>
      </c>
      <c r="I9">
        <f>$Q$1-F9</f>
        <v>23</v>
      </c>
      <c r="J9">
        <f>ROUND(IF(E9&gt;=10,D9*E9*0.9,D9*E9),0)</f>
        <v>13200</v>
      </c>
      <c r="K9" t="str">
        <f>IF(J9&gt;=150000,"CAO",IF(J9&gt;=60000,"TB","THAP"))</f>
        <v>THAP</v>
      </c>
      <c r="T9" t="str">
        <v>Don gia TB theo tieu chi S1:S2</v>
      </c>
      <c r="U9">
        <f>DAVERAGE(A1:K11,"DonGia",S1:S2)</f>
        <v>20666.666666666668</v>
      </c>
    </row>
    <row r="10">
      <c r="A10" t="str">
        <v>SP07</v>
      </c>
      <c r="B10" t="str">
        <v xml:space="preserve">  keo cat giay </v>
      </c>
      <c r="C10" t="str">
        <v>TB</v>
      </c>
      <c r="D10">
        <v>19500</v>
      </c>
      <c r="E10">
        <v>22</v>
      </c>
      <c r="F10">
        <v>46276</v>
      </c>
      <c r="G10" t="str">
        <f>PROPER(TRIM(B10))</f>
        <v>Keo Cat Giay</v>
      </c>
      <c r="H10" t="str">
        <f>VLOOKUP(C10,$N$2:$O$4,2,FALSE)</f>
        <v>Thiet bi nho</v>
      </c>
      <c r="I10">
        <f>$Q$1-F10</f>
        <v>44</v>
      </c>
      <c r="J10">
        <f>ROUND(IF(E10&gt;=10,D10*E10*0.9,D10*E10),0)</f>
        <v>386100</v>
      </c>
      <c r="K10" t="str">
        <f>IF(J10&gt;=150000,"CAO",IF(J10&gt;=60000,"TB","THAP"))</f>
        <v>CAO</v>
      </c>
      <c r="T10" t="str">
        <v>Tong tien hang chua giam (cong thuc tich)</v>
      </c>
      <c r="U10">
        <f>SUMPRODUCT(D2:D11,E2:E11)</f>
        <v>1821800</v>
      </c>
    </row>
    <row r="11">
      <c r="A11" t="str">
        <v>SP03</v>
      </c>
      <c r="B11" t="str">
        <v>SO LO XO A5</v>
      </c>
      <c r="C11" t="str">
        <v>TB</v>
      </c>
      <c r="D11">
        <v>25500</v>
      </c>
      <c r="E11">
        <v>6</v>
      </c>
      <c r="F11">
        <v>46270</v>
      </c>
      <c r="G11" t="str">
        <f>PROPER(TRIM(B11))</f>
        <v>So Lo Xo A5</v>
      </c>
      <c r="H11" t="str">
        <f>VLOOKUP(C11,$N$2:$O$4,2,FALSE)</f>
        <v>Thiet bi nho</v>
      </c>
      <c r="I11">
        <f>$Q$1-F11</f>
        <v>50</v>
      </c>
      <c r="J11">
        <f>ROUND(IF(E11&gt;=10,D11*E11*0.9,D11*E11),0)</f>
        <v>153000</v>
      </c>
      <c r="K11" t="str">
        <f>IF(J11&gt;=150000,"CAO",IF(J11&gt;=60000,"TB","THAP"))</f>
        <v>CAO</v>
      </c>
      <c r="T11" t="str">
        <v>Tong DonGia cac dong SoLuong &gt;= 10</v>
      </c>
      <c r="U11">
        <f>SUMPRODUCT((E2:E11&gt;=10)*D2:D11)</f>
        <v>60100</v>
      </c>
    </row>
  </sheetData>
  <ignoredErrors>
    <ignoredError numberStoredAsText="1" sqref="A1:U11"/>
  </ignoredErrors>
</worksheet>
</file>

<file path=xl/worksheets/sheet91.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t="str">
        <v>Binh Muc In</v>
      </c>
      <c r="C2">
        <f>'nhanmade'!G2</f>
      </c>
      <c r="D2">
        <f>IF(ISERROR(C2),LEFT(B2&amp;"",1)="#",IF(ISNUMBER(C2),AND(ISNUMBER(B2),ABS(C2-B2)&lt;=0.000001*MAX(1,ABS(B2))),EXACT(C2&amp;"",B2&amp;"")))</f>
      </c>
      <c r="E2">
        <f>ISERROR(C2)</f>
      </c>
    </row>
    <row r="3">
      <c r="A3" t="str">
        <v>H2</v>
      </c>
      <c r="B3" t="str">
        <v>Thiet bi nho</v>
      </c>
      <c r="C3">
        <f>'nhanmade'!H2</f>
      </c>
      <c r="D3">
        <f>IF(ISERROR(C3),LEFT(B3&amp;"",1)="#",IF(ISNUMBER(C3),AND(ISNUMBER(B3),ABS(C3-B3)&lt;=0.000001*MAX(1,ABS(B3))),EXACT(C3&amp;"",B3&amp;"")))</f>
      </c>
      <c r="E3">
        <f>ISERROR(C3)</f>
      </c>
    </row>
    <row r="4">
      <c r="A4" t="str">
        <v>I2</v>
      </c>
      <c r="B4">
        <v>41</v>
      </c>
      <c r="C4">
        <f>'nhanmade'!I2</f>
      </c>
      <c r="D4">
        <f>IF(ISERROR(C4),LEFT(B4&amp;"",1)="#",IF(ISNUMBER(C4),AND(ISNUMBER(B4),ABS(C4-B4)&lt;=0.000001*MAX(1,ABS(B4))),EXACT(C4&amp;"",B4&amp;"")))</f>
      </c>
      <c r="E4">
        <f>ISERROR(C4)</f>
      </c>
    </row>
    <row r="5">
      <c r="A5" t="str">
        <v>J2</v>
      </c>
      <c r="B5">
        <v>153000</v>
      </c>
      <c r="C5">
        <f>'nhanmade'!J2</f>
      </c>
      <c r="D5">
        <f>IF(ISERROR(C5),LEFT(B5&amp;"",1)="#",IF(ISNUMBER(C5),AND(ISNUMBER(B5),ABS(C5-B5)&lt;=0.000001*MAX(1,ABS(B5))),EXACT(C5&amp;"",B5&amp;"")))</f>
      </c>
      <c r="E5">
        <f>ISERROR(C5)</f>
      </c>
    </row>
    <row r="6">
      <c r="A6" t="str">
        <v>K2</v>
      </c>
      <c r="B6" t="str">
        <v>CAO</v>
      </c>
      <c r="C6">
        <f>'nhanmade'!K2</f>
      </c>
      <c r="D6">
        <f>IF(ISERROR(C6),LEFT(B6&amp;"",1)="#",IF(ISNUMBER(C6),AND(ISNUMBER(B6),ABS(C6-B6)&lt;=0.000001*MAX(1,ABS(B6))),EXACT(C6&amp;"",B6&amp;"")))</f>
      </c>
      <c r="E6">
        <f>ISERROR(C6)</f>
      </c>
    </row>
    <row r="7">
      <c r="A7" t="str">
        <v>U2</v>
      </c>
      <c r="B7" t="str">
        <v>SP07</v>
      </c>
      <c r="C7">
        <f>'nhanmade'!U2</f>
      </c>
      <c r="D7">
        <f>IF(ISERROR(C7),LEFT(B7&amp;"",1)="#",IF(ISNUMBER(C7),AND(ISNUMBER(B7),ABS(C7-B7)&lt;=0.000001*MAX(1,ABS(B7))),EXACT(C7&amp;"",B7&amp;"")))</f>
      </c>
      <c r="E7">
        <f>ISERROR(C7)</f>
      </c>
    </row>
    <row r="8">
      <c r="A8" t="str">
        <v>G3</v>
      </c>
      <c r="B8" t="str">
        <v>Thuoc Ke 20Cm</v>
      </c>
      <c r="C8">
        <f>'nhanmade'!G3</f>
      </c>
      <c r="D8">
        <f>IF(ISERROR(C8),LEFT(B8&amp;"",1)="#",IF(ISNUMBER(C8),AND(ISNUMBER(B8),ABS(C8-B8)&lt;=0.000001*MAX(1,ABS(B8))),EXACT(C8&amp;"",B8&amp;"")))</f>
      </c>
      <c r="E8">
        <f>ISERROR(C8)</f>
      </c>
    </row>
    <row r="9">
      <c r="A9" t="str">
        <v>H3</v>
      </c>
      <c r="B9" t="str">
        <v>Van phong pham</v>
      </c>
      <c r="C9">
        <f>'nhanmade'!H3</f>
      </c>
      <c r="D9">
        <f>IF(ISERROR(C9),LEFT(B9&amp;"",1)="#",IF(ISNUMBER(C9),AND(ISNUMBER(B9),ABS(C9-B9)&lt;=0.000001*MAX(1,ABS(B9))),EXACT(C9&amp;"",B9&amp;"")))</f>
      </c>
      <c r="E9">
        <f>ISERROR(C9)</f>
      </c>
    </row>
    <row r="10">
      <c r="A10" t="str">
        <v>I3</v>
      </c>
      <c r="B10">
        <v>25</v>
      </c>
      <c r="C10">
        <f>'nhanmade'!I3</f>
      </c>
      <c r="D10">
        <f>IF(ISERROR(C10),LEFT(B10&amp;"",1)="#",IF(ISNUMBER(C10),AND(ISNUMBER(B10),ABS(C10-B10)&lt;=0.000001*MAX(1,ABS(B10))),EXACT(C10&amp;"",B10&amp;"")))</f>
      </c>
      <c r="E10">
        <f>ISERROR(C10)</f>
      </c>
    </row>
    <row r="11">
      <c r="A11" t="str">
        <v>J3</v>
      </c>
      <c r="B11">
        <v>249750</v>
      </c>
      <c r="C11">
        <f>'nhanmade'!J3</f>
      </c>
      <c r="D11">
        <f>IF(ISERROR(C11),LEFT(B11&amp;"",1)="#",IF(ISNUMBER(C11),AND(ISNUMBER(B11),ABS(C11-B11)&lt;=0.000001*MAX(1,ABS(B11))),EXACT(C11&amp;"",B11&amp;"")))</f>
      </c>
      <c r="E11">
        <f>ISERROR(C11)</f>
      </c>
    </row>
    <row r="12">
      <c r="A12" t="str">
        <v>K3</v>
      </c>
      <c r="B12" t="str">
        <v>CAO</v>
      </c>
      <c r="C12">
        <f>'nhanmade'!K3</f>
      </c>
      <c r="D12">
        <f>IF(ISERROR(C12),LEFT(B12&amp;"",1)="#",IF(ISNUMBER(C12),AND(ISNUMBER(B12),ABS(C12-B12)&lt;=0.000001*MAX(1,ABS(B12))),EXACT(C12&amp;"",B12&amp;"")))</f>
      </c>
      <c r="E12">
        <f>ISERROR(C12)</f>
      </c>
    </row>
    <row r="13">
      <c r="A13" t="str">
        <v>U3</v>
      </c>
      <c r="B13">
        <v>778050</v>
      </c>
      <c r="C13">
        <f>'nhanmade'!U3</f>
      </c>
      <c r="D13">
        <f>IF(ISERROR(C13),LEFT(B13&amp;"",1)="#",IF(ISNUMBER(C13),AND(ISNUMBER(B13),ABS(C13-B13)&lt;=0.000001*MAX(1,ABS(B13))),EXACT(C13&amp;"",B13&amp;"")))</f>
      </c>
      <c r="E13">
        <f>ISERROR(C13)</f>
      </c>
    </row>
    <row r="14">
      <c r="A14" t="str">
        <v>G4</v>
      </c>
      <c r="B14" t="str">
        <v>Gom Tay</v>
      </c>
      <c r="C14">
        <f>'nhanmade'!G4</f>
      </c>
      <c r="D14">
        <f>IF(ISERROR(C14),LEFT(B14&amp;"",1)="#",IF(ISNUMBER(C14),AND(ISNUMBER(B14),ABS(C14-B14)&lt;=0.000001*MAX(1,ABS(B14))),EXACT(C14&amp;"",B14&amp;"")))</f>
      </c>
      <c r="E14">
        <f>ISERROR(C14)</f>
      </c>
    </row>
    <row r="15">
      <c r="A15" t="str">
        <v>H4</v>
      </c>
      <c r="B15" t="str">
        <v>Dung cu hoc tap</v>
      </c>
      <c r="C15">
        <f>'nhanmade'!H4</f>
      </c>
      <c r="D15">
        <f>IF(ISERROR(C15),LEFT(B15&amp;"",1)="#",IF(ISNUMBER(C15),AND(ISNUMBER(B15),ABS(C15-B15)&lt;=0.000001*MAX(1,ABS(B15))),EXACT(C15&amp;"",B15&amp;"")))</f>
      </c>
      <c r="E15">
        <f>ISERROR(C15)</f>
      </c>
    </row>
    <row r="16">
      <c r="A16" t="str">
        <v>I4</v>
      </c>
      <c r="B16">
        <v>15</v>
      </c>
      <c r="C16">
        <f>'nhanmade'!I4</f>
      </c>
      <c r="D16">
        <f>IF(ISERROR(C16),LEFT(B16&amp;"",1)="#",IF(ISNUMBER(C16),AND(ISNUMBER(B16),ABS(C16-B16)&lt;=0.000001*MAX(1,ABS(B16))),EXACT(C16&amp;"",B16&amp;"")))</f>
      </c>
      <c r="E16">
        <f>ISERROR(C16)</f>
      </c>
    </row>
    <row r="17">
      <c r="A17" t="str">
        <v>J4</v>
      </c>
      <c r="B17">
        <v>103500</v>
      </c>
      <c r="C17">
        <f>'nhanmade'!J4</f>
      </c>
      <c r="D17">
        <f>IF(ISERROR(C17),LEFT(B17&amp;"",1)="#",IF(ISNUMBER(C17),AND(ISNUMBER(B17),ABS(C17-B17)&lt;=0.000001*MAX(1,ABS(B17))),EXACT(C17&amp;"",B17&amp;"")))</f>
      </c>
      <c r="E17">
        <f>ISERROR(C17)</f>
      </c>
    </row>
    <row r="18">
      <c r="A18" t="str">
        <v>K4</v>
      </c>
      <c r="B18" t="str">
        <v>TB</v>
      </c>
      <c r="C18">
        <f>'nhanmade'!K4</f>
      </c>
      <c r="D18">
        <f>IF(ISERROR(C18),LEFT(B18&amp;"",1)="#",IF(ISNUMBER(C18),AND(ISNUMBER(B18),ABS(C18-B18)&lt;=0.000001*MAX(1,ABS(B18))),EXACT(C18&amp;"",B18&amp;"")))</f>
      </c>
      <c r="E18">
        <f>ISERROR(C18)</f>
      </c>
    </row>
    <row r="19">
      <c r="A19" t="str">
        <v>U4</v>
      </c>
      <c r="B19">
        <v>4</v>
      </c>
      <c r="C19">
        <f>'nhanmade'!U4</f>
      </c>
      <c r="D19">
        <f>IF(ISERROR(C19),LEFT(B19&amp;"",1)="#",IF(ISNUMBER(C19),AND(ISNUMBER(B19),ABS(C19-B19)&lt;=0.000001*MAX(1,ABS(B19))),EXACT(C19&amp;"",B19&amp;"")))</f>
      </c>
      <c r="E19">
        <f>ISERROR(C19)</f>
      </c>
    </row>
    <row r="20">
      <c r="A20" t="str">
        <v>G5</v>
      </c>
      <c r="B20" t="str">
        <v>Kep Giay 32Mm</v>
      </c>
      <c r="C20">
        <f>'nhanmade'!G5</f>
      </c>
      <c r="D20">
        <f>IF(ISERROR(C20),LEFT(B20&amp;"",1)="#",IF(ISNUMBER(C20),AND(ISNUMBER(B20),ABS(C20-B20)&lt;=0.000001*MAX(1,ABS(B20))),EXACT(C20&amp;"",B20&amp;"")))</f>
      </c>
      <c r="E20">
        <f>ISERROR(C20)</f>
      </c>
    </row>
    <row r="21">
      <c r="A21" t="str">
        <v>H5</v>
      </c>
      <c r="B21" t="str">
        <v>Dung cu hoc tap</v>
      </c>
      <c r="C21">
        <f>'nhanmade'!H5</f>
      </c>
      <c r="D21">
        <f>IF(ISERROR(C21),LEFT(B21&amp;"",1)="#",IF(ISNUMBER(C21),AND(ISNUMBER(B21),ABS(C21-B21)&lt;=0.000001*MAX(1,ABS(B21))),EXACT(C21&amp;"",B21&amp;"")))</f>
      </c>
      <c r="E21">
        <f>ISERROR(C21)</f>
      </c>
    </row>
    <row r="22">
      <c r="A22" t="str">
        <v>I5</v>
      </c>
      <c r="B22">
        <v>33</v>
      </c>
      <c r="C22">
        <f>'nhanmade'!I5</f>
      </c>
      <c r="D22">
        <f>IF(ISERROR(C22),LEFT(B22&amp;"",1)="#",IF(ISNUMBER(C22),AND(ISNUMBER(B22),ABS(C22-B22)&lt;=0.000001*MAX(1,ABS(B22))),EXACT(C22&amp;"",B22&amp;"")))</f>
      </c>
      <c r="E22">
        <f>ISERROR(C22)</f>
      </c>
    </row>
    <row r="23">
      <c r="A23" t="str">
        <v>J5</v>
      </c>
      <c r="B23">
        <v>59670</v>
      </c>
      <c r="C23">
        <f>'nhanmade'!J5</f>
      </c>
      <c r="D23">
        <f>IF(ISERROR(C23),LEFT(B23&amp;"",1)="#",IF(ISNUMBER(C23),AND(ISNUMBER(B23),ABS(C23-B23)&lt;=0.000001*MAX(1,ABS(B23))),EXACT(C23&amp;"",B23&amp;"")))</f>
      </c>
      <c r="E23">
        <f>ISERROR(C23)</f>
      </c>
    </row>
    <row r="24">
      <c r="A24" t="str">
        <v>K5</v>
      </c>
      <c r="B24" t="str">
        <v>THAP</v>
      </c>
      <c r="C24">
        <f>'nhanmade'!K5</f>
      </c>
      <c r="D24">
        <f>IF(ISERROR(C24),LEFT(B24&amp;"",1)="#",IF(ISNUMBER(C24),AND(ISNUMBER(B24),ABS(C24-B24)&lt;=0.000001*MAX(1,ABS(B24))),EXACT(C24&amp;"",B24&amp;"")))</f>
      </c>
      <c r="E24">
        <f>ISERROR(C24)</f>
      </c>
    </row>
    <row r="25">
      <c r="A25" t="str">
        <v>U5</v>
      </c>
      <c r="B25">
        <v>6925</v>
      </c>
      <c r="C25">
        <f>'nhanmade'!U5</f>
      </c>
      <c r="D25">
        <f>IF(ISERROR(C25),LEFT(B25&amp;"",1)="#",IF(ISNUMBER(C25),AND(ISNUMBER(B25),ABS(C25-B25)&lt;=0.000001*MAX(1,ABS(B25))),EXACT(C25&amp;"",B25&amp;"")))</f>
      </c>
      <c r="E25">
        <f>ISERROR(C25)</f>
      </c>
    </row>
    <row r="26">
      <c r="A26" t="str">
        <v>G6</v>
      </c>
      <c r="B26" t="str">
        <v>Giay A4 70Gsm</v>
      </c>
      <c r="C26">
        <f>'nhanmade'!G6</f>
      </c>
      <c r="D26">
        <f>IF(ISERROR(C26),LEFT(B26&amp;"",1)="#",IF(ISNUMBER(C26),AND(ISNUMBER(B26),ABS(C26-B26)&lt;=0.000001*MAX(1,ABS(B26))),EXACT(C26&amp;"",B26&amp;"")))</f>
      </c>
      <c r="E26">
        <f>ISERROR(C26)</f>
      </c>
    </row>
    <row r="27">
      <c r="A27" t="str">
        <v>H6</v>
      </c>
      <c r="B27" t="str">
        <v>Van phong pham</v>
      </c>
      <c r="C27">
        <f>'nhanmade'!H6</f>
      </c>
      <c r="D27">
        <f>IF(ISERROR(C27),LEFT(B27&amp;"",1)="#",IF(ISNUMBER(C27),AND(ISNUMBER(B27),ABS(C27-B27)&lt;=0.000001*MAX(1,ABS(B27))),EXACT(C27&amp;"",B27&amp;"")))</f>
      </c>
      <c r="E27">
        <f>ISERROR(C27)</f>
      </c>
    </row>
    <row r="28">
      <c r="A28" t="str">
        <v>I6</v>
      </c>
      <c r="B28">
        <v>40</v>
      </c>
      <c r="C28">
        <f>'nhanmade'!I6</f>
      </c>
      <c r="D28">
        <f>IF(ISERROR(C28),LEFT(B28&amp;"",1)="#",IF(ISNUMBER(C28),AND(ISNUMBER(B28),ABS(C28-B28)&lt;=0.000001*MAX(1,ABS(B28))),EXACT(C28&amp;"",B28&amp;"")))</f>
      </c>
      <c r="E28">
        <f>ISERROR(C28)</f>
      </c>
    </row>
    <row r="29">
      <c r="A29" t="str">
        <v>J6</v>
      </c>
      <c r="B29">
        <v>207000</v>
      </c>
      <c r="C29">
        <f>'nhanmade'!J6</f>
      </c>
      <c r="D29">
        <f>IF(ISERROR(C29),LEFT(B29&amp;"",1)="#",IF(ISNUMBER(C29),AND(ISNUMBER(B29),ABS(C29-B29)&lt;=0.000001*MAX(1,ABS(B29))),EXACT(C29&amp;"",B29&amp;"")))</f>
      </c>
      <c r="E29">
        <f>ISERROR(C29)</f>
      </c>
    </row>
    <row r="30">
      <c r="A30" t="str">
        <v>K6</v>
      </c>
      <c r="B30" t="str">
        <v>CAO</v>
      </c>
      <c r="C30">
        <f>'nhanmade'!K6</f>
      </c>
      <c r="D30">
        <f>IF(ISERROR(C30),LEFT(B30&amp;"",1)="#",IF(ISNUMBER(C30),AND(ISNUMBER(B30),ABS(C30-B30)&lt;=0.000001*MAX(1,ABS(B30))),EXACT(C30&amp;"",B30&amp;"")))</f>
      </c>
      <c r="E30">
        <f>ISERROR(C30)</f>
      </c>
    </row>
    <row r="31">
      <c r="A31" t="str">
        <v>U6</v>
      </c>
      <c r="B31">
        <v>179000</v>
      </c>
      <c r="C31">
        <f>'nhanmade'!U6</f>
      </c>
      <c r="D31">
        <f>IF(ISERROR(C31),LEFT(B31&amp;"",1)="#",IF(ISNUMBER(C31),AND(ISNUMBER(B31),ABS(C31-B31)&lt;=0.000001*MAX(1,ABS(B31))),EXACT(C31&amp;"",B31&amp;"")))</f>
      </c>
      <c r="E31">
        <f>ISERROR(C31)</f>
      </c>
    </row>
    <row r="32">
      <c r="A32" t="str">
        <v>G7</v>
      </c>
      <c r="B32" t="str">
        <v>Bia Nhua A4</v>
      </c>
      <c r="C32">
        <f>'nhanmade'!G7</f>
      </c>
      <c r="D32">
        <f>IF(ISERROR(C32),LEFT(B32&amp;"",1)="#",IF(ISNUMBER(C32),AND(ISNUMBER(B32),ABS(C32-B32)&lt;=0.000001*MAX(1,ABS(B32))),EXACT(C32&amp;"",B32&amp;"")))</f>
      </c>
      <c r="E32">
        <f>ISERROR(C32)</f>
      </c>
    </row>
    <row r="33">
      <c r="A33" t="str">
        <v>H7</v>
      </c>
      <c r="B33" t="str">
        <v>Van phong pham</v>
      </c>
      <c r="C33">
        <f>'nhanmade'!H7</f>
      </c>
      <c r="D33">
        <f>IF(ISERROR(C33),LEFT(B33&amp;"",1)="#",IF(ISNUMBER(C33),AND(ISNUMBER(B33),ABS(C33-B33)&lt;=0.000001*MAX(1,ABS(B33))),EXACT(C33&amp;"",B33&amp;"")))</f>
      </c>
      <c r="E33">
        <f>ISERROR(C33)</f>
      </c>
    </row>
    <row r="34">
      <c r="A34" t="str">
        <v>I7</v>
      </c>
      <c r="B34">
        <v>31</v>
      </c>
      <c r="C34">
        <f>'nhanmade'!I7</f>
      </c>
      <c r="D34">
        <f>IF(ISERROR(C34),LEFT(B34&amp;"",1)="#",IF(ISNUMBER(C34),AND(ISNUMBER(B34),ABS(C34-B34)&lt;=0.000001*MAX(1,ABS(B34))),EXACT(C34&amp;"",B34&amp;"")))</f>
      </c>
      <c r="E34">
        <f>ISERROR(C34)</f>
      </c>
    </row>
    <row r="35">
      <c r="A35" t="str">
        <v>J7</v>
      </c>
      <c r="B35">
        <v>321300</v>
      </c>
      <c r="C35">
        <f>'nhanmade'!J7</f>
      </c>
      <c r="D35">
        <f>IF(ISERROR(C35),LEFT(B35&amp;"",1)="#",IF(ISNUMBER(C35),AND(ISNUMBER(B35),ABS(C35-B35)&lt;=0.000001*MAX(1,ABS(B35))),EXACT(C35&amp;"",B35&amp;"")))</f>
      </c>
      <c r="E35">
        <f>ISERROR(C35)</f>
      </c>
    </row>
    <row r="36">
      <c r="A36" t="str">
        <v>K7</v>
      </c>
      <c r="B36" t="str">
        <v>CAO</v>
      </c>
      <c r="C36">
        <f>'nhanmade'!K7</f>
      </c>
      <c r="D36">
        <f>IF(ISERROR(C36),LEFT(B36&amp;"",1)="#",IF(ISNUMBER(C36),AND(ISNUMBER(B36),ABS(C36-B36)&lt;=0.000001*MAX(1,ABS(B36))),EXACT(C36&amp;"",B36&amp;"")))</f>
      </c>
      <c r="E36">
        <f>ISERROR(C36)</f>
      </c>
    </row>
    <row r="37">
      <c r="A37" t="str">
        <v>U7</v>
      </c>
      <c r="B37">
        <v>2</v>
      </c>
      <c r="C37">
        <f>'nhanmade'!U7</f>
      </c>
      <c r="D37">
        <f>IF(ISERROR(C37),LEFT(B37&amp;"",1)="#",IF(ISNUMBER(C37),AND(ISNUMBER(B37),ABS(C37-B37)&lt;=0.000001*MAX(1,ABS(B37))),EXACT(C37&amp;"",B37&amp;"")))</f>
      </c>
      <c r="E37">
        <f>ISERROR(C37)</f>
      </c>
    </row>
    <row r="38">
      <c r="A38" t="str">
        <v>G8</v>
      </c>
      <c r="B38" t="str">
        <v>But Da Quang</v>
      </c>
      <c r="C38">
        <f>'nhanmade'!G8</f>
      </c>
      <c r="D38">
        <f>IF(ISERROR(C38),LEFT(B38&amp;"",1)="#",IF(ISNUMBER(C38),AND(ISNUMBER(B38),ABS(C38-B38)&lt;=0.000001*MAX(1,ABS(B38))),EXACT(C38&amp;"",B38&amp;"")))</f>
      </c>
      <c r="E38">
        <f>ISERROR(C38)</f>
      </c>
    </row>
    <row r="39">
      <c r="A39" t="str">
        <v>H8</v>
      </c>
      <c r="B39" t="str">
        <v>Dung cu hoc tap</v>
      </c>
      <c r="C39">
        <f>'nhanmade'!H8</f>
      </c>
      <c r="D39">
        <f>IF(ISERROR(C39),LEFT(B39&amp;"",1)="#",IF(ISNUMBER(C39),AND(ISNUMBER(B39),ABS(C39-B39)&lt;=0.000001*MAX(1,ABS(B39))),EXACT(C39&amp;"",B39&amp;"")))</f>
      </c>
      <c r="E39">
        <f>ISERROR(C39)</f>
      </c>
    </row>
    <row r="40">
      <c r="A40" t="str">
        <v>I8</v>
      </c>
      <c r="B40">
        <v>39</v>
      </c>
      <c r="C40">
        <f>'nhanmade'!I8</f>
      </c>
      <c r="D40">
        <f>IF(ISERROR(C40),LEFT(B40&amp;"",1)="#",IF(ISNUMBER(C40),AND(ISNUMBER(B40),ABS(C40-B40)&lt;=0.000001*MAX(1,ABS(B40))),EXACT(C40&amp;"",B40&amp;"")))</f>
      </c>
      <c r="E40">
        <f>ISERROR(C40)</f>
      </c>
    </row>
    <row r="41">
      <c r="A41" t="str">
        <v>J8</v>
      </c>
      <c r="B41">
        <v>62300</v>
      </c>
      <c r="C41">
        <f>'nhanmade'!J8</f>
      </c>
      <c r="D41">
        <f>IF(ISERROR(C41),LEFT(B41&amp;"",1)="#",IF(ISNUMBER(C41),AND(ISNUMBER(B41),ABS(C41-B41)&lt;=0.000001*MAX(1,ABS(B41))),EXACT(C41&amp;"",B41&amp;"")))</f>
      </c>
      <c r="E41">
        <f>ISERROR(C41)</f>
      </c>
    </row>
    <row r="42">
      <c r="A42" t="str">
        <v>K8</v>
      </c>
      <c r="B42" t="str">
        <v>TB</v>
      </c>
      <c r="C42">
        <f>'nhanmade'!K8</f>
      </c>
      <c r="D42">
        <f>IF(ISERROR(C42),LEFT(B42&amp;"",1)="#",IF(ISNUMBER(C42),AND(ISNUMBER(B42),ABS(C42-B42)&lt;=0.000001*MAX(1,ABS(B42))),EXACT(C42&amp;"",B42&amp;"")))</f>
      </c>
      <c r="E42">
        <f>ISERROR(C42)</f>
      </c>
    </row>
    <row r="43">
      <c r="A43" t="str">
        <v>U8</v>
      </c>
      <c r="B43">
        <v>37</v>
      </c>
      <c r="C43">
        <f>'nhanmade'!U8</f>
      </c>
      <c r="D43">
        <f>IF(ISERROR(C43),LEFT(B43&amp;"",1)="#",IF(ISNUMBER(C43),AND(ISNUMBER(B43),ABS(C43-B43)&lt;=0.000001*MAX(1,ABS(B43))),EXACT(C43&amp;"",B43&amp;"")))</f>
      </c>
      <c r="E43">
        <f>ISERROR(C43)</f>
      </c>
    </row>
    <row r="44">
      <c r="A44" t="str">
        <v>G9</v>
      </c>
      <c r="B44" t="str">
        <v>But Bi Xanh</v>
      </c>
      <c r="C44">
        <f>'nhanmade'!G9</f>
      </c>
      <c r="D44">
        <f>IF(ISERROR(C44),LEFT(B44&amp;"",1)="#",IF(ISNUMBER(C44),AND(ISNUMBER(B44),ABS(C44-B44)&lt;=0.000001*MAX(1,ABS(B44))),EXACT(C44&amp;"",B44&amp;"")))</f>
      </c>
      <c r="E44">
        <f>ISERROR(C44)</f>
      </c>
    </row>
    <row r="45">
      <c r="A45" t="str">
        <v>H9</v>
      </c>
      <c r="B45" t="str">
        <v>Dung cu hoc tap</v>
      </c>
      <c r="C45">
        <f>'nhanmade'!H9</f>
      </c>
      <c r="D45">
        <f>IF(ISERROR(C45),LEFT(B45&amp;"",1)="#",IF(ISNUMBER(C45),AND(ISNUMBER(B45),ABS(C45-B45)&lt;=0.000001*MAX(1,ABS(B45))),EXACT(C45&amp;"",B45&amp;"")))</f>
      </c>
      <c r="E45">
        <f>ISERROR(C45)</f>
      </c>
    </row>
    <row r="46">
      <c r="A46" t="str">
        <v>I9</v>
      </c>
      <c r="B46">
        <v>23</v>
      </c>
      <c r="C46">
        <f>'nhanmade'!I9</f>
      </c>
      <c r="D46">
        <f>IF(ISERROR(C46),LEFT(B46&amp;"",1)="#",IF(ISNUMBER(C46),AND(ISNUMBER(B46),ABS(C46-B46)&lt;=0.000001*MAX(1,ABS(B46))),EXACT(C46&amp;"",B46&amp;"")))</f>
      </c>
      <c r="E46">
        <f>ISERROR(C46)</f>
      </c>
    </row>
    <row r="47">
      <c r="A47" t="str">
        <v>J9</v>
      </c>
      <c r="B47">
        <v>13200</v>
      </c>
      <c r="C47">
        <f>'nhanmade'!J9</f>
      </c>
      <c r="D47">
        <f>IF(ISERROR(C47),LEFT(B47&amp;"",1)="#",IF(ISNUMBER(C47),AND(ISNUMBER(B47),ABS(C47-B47)&lt;=0.000001*MAX(1,ABS(B47))),EXACT(C47&amp;"",B47&amp;"")))</f>
      </c>
      <c r="E47">
        <f>ISERROR(C47)</f>
      </c>
    </row>
    <row r="48">
      <c r="A48" t="str">
        <v>K9</v>
      </c>
      <c r="B48" t="str">
        <v>THAP</v>
      </c>
      <c r="C48">
        <f>'nhanmade'!K9</f>
      </c>
      <c r="D48">
        <f>IF(ISERROR(C48),LEFT(B48&amp;"",1)="#",IF(ISNUMBER(C48),AND(ISNUMBER(B48),ABS(C48-B48)&lt;=0.000001*MAX(1,ABS(B48))),EXACT(C48&amp;"",B48&amp;"")))</f>
      </c>
      <c r="E48">
        <f>ISERROR(C48)</f>
      </c>
    </row>
    <row r="49">
      <c r="A49" t="str">
        <v>U9</v>
      </c>
      <c r="B49">
        <v>20666.666666666668</v>
      </c>
      <c r="C49">
        <f>'nhanmade'!U9</f>
      </c>
      <c r="D49">
        <f>IF(ISERROR(C49),LEFT(B49&amp;"",1)="#",IF(ISNUMBER(C49),AND(ISNUMBER(B49),ABS(C49-B49)&lt;=0.000001*MAX(1,ABS(B49))),EXACT(C49&amp;"",B49&amp;"")))</f>
      </c>
      <c r="E49">
        <f>ISERROR(C49)</f>
      </c>
    </row>
    <row r="50">
      <c r="A50" t="str">
        <v>G10</v>
      </c>
      <c r="B50" t="str">
        <v>Keo Cat Giay</v>
      </c>
      <c r="C50">
        <f>'nhanmade'!G10</f>
      </c>
      <c r="D50">
        <f>IF(ISERROR(C50),LEFT(B50&amp;"",1)="#",IF(ISNUMBER(C50),AND(ISNUMBER(B50),ABS(C50-B50)&lt;=0.000001*MAX(1,ABS(B50))),EXACT(C50&amp;"",B50&amp;"")))</f>
      </c>
      <c r="E50">
        <f>ISERROR(C50)</f>
      </c>
    </row>
    <row r="51">
      <c r="A51" t="str">
        <v>H10</v>
      </c>
      <c r="B51" t="str">
        <v>Thiet bi nho</v>
      </c>
      <c r="C51">
        <f>'nhanmade'!H10</f>
      </c>
      <c r="D51">
        <f>IF(ISERROR(C51),LEFT(B51&amp;"",1)="#",IF(ISNUMBER(C51),AND(ISNUMBER(B51),ABS(C51-B51)&lt;=0.000001*MAX(1,ABS(B51))),EXACT(C51&amp;"",B51&amp;"")))</f>
      </c>
      <c r="E51">
        <f>ISERROR(C51)</f>
      </c>
    </row>
    <row r="52">
      <c r="A52" t="str">
        <v>I10</v>
      </c>
      <c r="B52">
        <v>44</v>
      </c>
      <c r="C52">
        <f>'nhanmade'!I10</f>
      </c>
      <c r="D52">
        <f>IF(ISERROR(C52),LEFT(B52&amp;"",1)="#",IF(ISNUMBER(C52),AND(ISNUMBER(B52),ABS(C52-B52)&lt;=0.000001*MAX(1,ABS(B52))),EXACT(C52&amp;"",B52&amp;"")))</f>
      </c>
      <c r="E52">
        <f>ISERROR(C52)</f>
      </c>
    </row>
    <row r="53">
      <c r="A53" t="str">
        <v>J10</v>
      </c>
      <c r="B53">
        <v>386100</v>
      </c>
      <c r="C53">
        <f>'nhanmade'!J10</f>
      </c>
      <c r="D53">
        <f>IF(ISERROR(C53),LEFT(B53&amp;"",1)="#",IF(ISNUMBER(C53),AND(ISNUMBER(B53),ABS(C53-B53)&lt;=0.000001*MAX(1,ABS(B53))),EXACT(C53&amp;"",B53&amp;"")))</f>
      </c>
      <c r="E53">
        <f>ISERROR(C53)</f>
      </c>
    </row>
    <row r="54">
      <c r="A54" t="str">
        <v>K10</v>
      </c>
      <c r="B54" t="str">
        <v>CAO</v>
      </c>
      <c r="C54">
        <f>'nhanmade'!K10</f>
      </c>
      <c r="D54">
        <f>IF(ISERROR(C54),LEFT(B54&amp;"",1)="#",IF(ISNUMBER(C54),AND(ISNUMBER(B54),ABS(C54-B54)&lt;=0.000001*MAX(1,ABS(B54))),EXACT(C54&amp;"",B54&amp;"")))</f>
      </c>
      <c r="E54">
        <f>ISERROR(C54)</f>
      </c>
    </row>
    <row r="55">
      <c r="A55" t="str">
        <v>U10</v>
      </c>
      <c r="B55">
        <v>1821800</v>
      </c>
      <c r="C55">
        <f>'nhanmade'!U10</f>
      </c>
      <c r="D55">
        <f>IF(ISERROR(C55),LEFT(B55&amp;"",1)="#",IF(ISNUMBER(C55),AND(ISNUMBER(B55),ABS(C55-B55)&lt;=0.000001*MAX(1,ABS(B55))),EXACT(C55&amp;"",B55&amp;"")))</f>
      </c>
      <c r="E55">
        <f>ISERROR(C55)</f>
      </c>
    </row>
    <row r="56">
      <c r="A56" t="str">
        <v>G11</v>
      </c>
      <c r="B56" t="str">
        <v>So Lo Xo A5</v>
      </c>
      <c r="C56">
        <f>'nhanmade'!G11</f>
      </c>
      <c r="D56">
        <f>IF(ISERROR(C56),LEFT(B56&amp;"",1)="#",IF(ISNUMBER(C56),AND(ISNUMBER(B56),ABS(C56-B56)&lt;=0.000001*MAX(1,ABS(B56))),EXACT(C56&amp;"",B56&amp;"")))</f>
      </c>
      <c r="E56">
        <f>ISERROR(C56)</f>
      </c>
    </row>
    <row r="57">
      <c r="A57" t="str">
        <v>H11</v>
      </c>
      <c r="B57" t="str">
        <v>Thiet bi nho</v>
      </c>
      <c r="C57">
        <f>'nhanmade'!H11</f>
      </c>
      <c r="D57">
        <f>IF(ISERROR(C57),LEFT(B57&amp;"",1)="#",IF(ISNUMBER(C57),AND(ISNUMBER(B57),ABS(C57-B57)&lt;=0.000001*MAX(1,ABS(B57))),EXACT(C57&amp;"",B57&amp;"")))</f>
      </c>
      <c r="E57">
        <f>ISERROR(C57)</f>
      </c>
    </row>
    <row r="58">
      <c r="A58" t="str">
        <v>I11</v>
      </c>
      <c r="B58">
        <v>50</v>
      </c>
      <c r="C58">
        <f>'nhanmade'!I11</f>
      </c>
      <c r="D58">
        <f>IF(ISERROR(C58),LEFT(B58&amp;"",1)="#",IF(ISNUMBER(C58),AND(ISNUMBER(B58),ABS(C58-B58)&lt;=0.000001*MAX(1,ABS(B58))),EXACT(C58&amp;"",B58&amp;"")))</f>
      </c>
      <c r="E58">
        <f>ISERROR(C58)</f>
      </c>
    </row>
    <row r="59">
      <c r="A59" t="str">
        <v>J11</v>
      </c>
      <c r="B59">
        <v>153000</v>
      </c>
      <c r="C59">
        <f>'nhanmade'!J11</f>
      </c>
      <c r="D59">
        <f>IF(ISERROR(C59),LEFT(B59&amp;"",1)="#",IF(ISNUMBER(C59),AND(ISNUMBER(B59),ABS(C59-B59)&lt;=0.000001*MAX(1,ABS(B59))),EXACT(C59&amp;"",B59&amp;"")))</f>
      </c>
      <c r="E59">
        <f>ISERROR(C59)</f>
      </c>
    </row>
    <row r="60">
      <c r="A60" t="str">
        <v>K11</v>
      </c>
      <c r="B60" t="str">
        <v>CAO</v>
      </c>
      <c r="C60">
        <f>'nhanmade'!K11</f>
      </c>
      <c r="D60">
        <f>IF(ISERROR(C60),LEFT(B60&amp;"",1)="#",IF(ISNUMBER(C60),AND(ISNUMBER(B60),ABS(C60-B60)&lt;=0.000001*MAX(1,ABS(B60))),EXACT(C60&amp;"",B60&amp;"")))</f>
      </c>
      <c r="E60">
        <f>ISERROR(C60)</f>
      </c>
    </row>
    <row r="61">
      <c r="A61" t="str">
        <v>U11</v>
      </c>
      <c r="B61">
        <v>60100</v>
      </c>
      <c r="C61">
        <f>'nhanmade'!U11</f>
      </c>
      <c r="D61">
        <f>IF(ISERROR(C61),LEFT(B61&amp;"",1)="#",IF(ISNUMBER(C61),AND(ISNUMBER(B61),ABS(C61-B61)&lt;=0.000001*MAX(1,ABS(B61))),EXACT(C61&amp;"",B61&amp;"")))</f>
      </c>
      <c r="E61">
        <f>ISERROR(C61)</f>
      </c>
    </row>
  </sheetData>
  <ignoredErrors>
    <ignoredError numberStoredAsText="1" sqref="A1:E6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91</vt:i4>
      </vt:variant>
    </vt:vector>
  </HeadingPairs>
  <TitlesOfParts>
    <vt:vector size="91" baseType="lpstr">
      <vt:lpstr>TomTat</vt:lpstr>
      <vt:lpstr>su6</vt:lpstr>
      <vt:lpstr>KT_su6</vt:lpstr>
      <vt:lpstr>khtn7</vt:lpstr>
      <vt:lpstr>KT_khtn7</vt:lpstr>
      <vt:lpstr>van8</vt:lpstr>
      <vt:lpstr>KT_van8</vt:lpstr>
      <vt:lpstr>tin7</vt:lpstr>
      <vt:lpstr>KT_tin7</vt:lpstr>
      <vt:lpstr>khtn8</vt:lpstr>
      <vt:lpstr>KT_khtn8</vt:lpstr>
      <vt:lpstr>tin8</vt:lpstr>
      <vt:lpstr>KT_tin8</vt:lpstr>
      <vt:lpstr>toan8</vt:lpstr>
      <vt:lpstr>KT_toan8</vt:lpstr>
      <vt:lpstr>khtn9</vt:lpstr>
      <vt:lpstr>KT_khtn9</vt:lpstr>
      <vt:lpstr>tin9</vt:lpstr>
      <vt:lpstr>KT_tin9</vt:lpstr>
      <vt:lpstr>toan9</vt:lpstr>
      <vt:lpstr>KT_toan9</vt:lpstr>
      <vt:lpstr>toan9tk</vt:lpstr>
      <vt:lpstr>KT_toan9tk</vt:lpstr>
      <vt:lpstr>dia10</vt:lpstr>
      <vt:lpstr>KT_dia10</vt:lpstr>
      <vt:lpstr>hoa10</vt:lpstr>
      <vt:lpstr>KT_hoa10</vt:lpstr>
      <vt:lpstr>sinh10</vt:lpstr>
      <vt:lpstr>KT_sinh10</vt:lpstr>
      <vt:lpstr>anh</vt:lpstr>
      <vt:lpstr>KT_anh</vt:lpstr>
      <vt:lpstr>toan</vt:lpstr>
      <vt:lpstr>KT_toan</vt:lpstr>
      <vt:lpstr>toan10hs</vt:lpstr>
      <vt:lpstr>KT_toan10hs</vt:lpstr>
      <vt:lpstr>toan10tk</vt:lpstr>
      <vt:lpstr>KT_toan10tk</vt:lpstr>
      <vt:lpstr>ly</vt:lpstr>
      <vt:lpstr>KT_ly</vt:lpstr>
      <vt:lpstr>gdkt11</vt:lpstr>
      <vt:lpstr>KT_gdkt11</vt:lpstr>
      <vt:lpstr>hoa</vt:lpstr>
      <vt:lpstr>KT_hoa</vt:lpstr>
      <vt:lpstr>toan11</vt:lpstr>
      <vt:lpstr>KT_toan11</vt:lpstr>
      <vt:lpstr>toan11xs</vt:lpstr>
      <vt:lpstr>KT_toan11xs</vt:lpstr>
      <vt:lpstr>ly11</vt:lpstr>
      <vt:lpstr>KT_ly11</vt:lpstr>
      <vt:lpstr>cn12</vt:lpstr>
      <vt:lpstr>KT_cn12</vt:lpstr>
      <vt:lpstr>hoa12</vt:lpstr>
      <vt:lpstr>KT_hoa12</vt:lpstr>
      <vt:lpstr>sinh12</vt:lpstr>
      <vt:lpstr>KT_sinh12</vt:lpstr>
      <vt:lpstr>tin12</vt:lpstr>
      <vt:lpstr>KT_tin12</vt:lpstr>
      <vt:lpstr>toan12xs</vt:lpstr>
      <vt:lpstr>KT_toan12xs</vt:lpstr>
      <vt:lpstr>toan12tk</vt:lpstr>
      <vt:lpstr>KT_toan12tk</vt:lpstr>
      <vt:lpstr>ly12</vt:lpstr>
      <vt:lpstr>KT_ly12</vt:lpstr>
      <vt:lpstr>ly12hn</vt:lpstr>
      <vt:lpstr>KT_ly12hn</vt:lpstr>
      <vt:lpstr>cntt</vt:lpstr>
      <vt:lpstr>KT_cntt</vt:lpstr>
      <vt:lpstr>kinhte</vt:lpstr>
      <vt:lpstr>KT_kinhte</vt:lpstr>
      <vt:lpstr>cokhi</vt:lpstr>
      <vt:lpstr>KT_cokhi</vt:lpstr>
      <vt:lpstr>dientu</vt:lpstr>
      <vt:lpstr>KT_dientu</vt:lpstr>
      <vt:lpstr>kho</vt:lpstr>
      <vt:lpstr>KT_kho</vt:lpstr>
      <vt:lpstr>donhang</vt:lpstr>
      <vt:lpstr>KT_donhang</vt:lpstr>
      <vt:lpstr>diem</vt:lpstr>
      <vt:lpstr>KT_diem</vt:lpstr>
      <vt:lpstr>thue</vt:lpstr>
      <vt:lpstr>KT_thue</vt:lpstr>
      <vt:lpstr>luong</vt:lpstr>
      <vt:lpstr>KT_luong</vt:lpstr>
      <vt:lpstr>hoiquy</vt:lpstr>
      <vt:lpstr>KT_hoiquy</vt:lpstr>
      <vt:lpstr>xaydung</vt:lpstr>
      <vt:lpstr>KT_xaydung</vt:lpstr>
      <vt:lpstr>yduoc</vt:lpstr>
      <vt:lpstr>KT_yduoc</vt:lpstr>
      <vt:lpstr>nhanmade</vt:lpstr>
      <vt:lpstr>KT_nhanmade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